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4560" windowHeight="6210" activeTab="0"/>
  </bookViews>
  <sheets>
    <sheet name="กันยายน" sheetId="1" r:id="rId1"/>
    <sheet name="ตุลาคม 60" sheetId="2" r:id="rId2"/>
    <sheet name="พฤศจิกายน 60" sheetId="3" r:id="rId3"/>
    <sheet name="ธันวาคม 60" sheetId="4" r:id="rId4"/>
    <sheet name="มกราคม 60" sheetId="5" r:id="rId5"/>
    <sheet name="กุมภาพันธ์ 60" sheetId="6" r:id="rId6"/>
    <sheet name="มีนาคม 60" sheetId="7" r:id="rId7"/>
    <sheet name="เมษายน 60" sheetId="8" r:id="rId8"/>
    <sheet name="พฤษภาคม 60" sheetId="9" r:id="rId9"/>
    <sheet name=" มิถุนายน 60" sheetId="10" r:id="rId10"/>
    <sheet name="หมายเหตุประกอบงบรับ-จ่าย" sheetId="11" r:id="rId11"/>
    <sheet name="งบทดลอง " sheetId="12" r:id="rId12"/>
    <sheet name="หมายเหตุประกอบงบทดลอง" sheetId="13" r:id="rId13"/>
    <sheet name="เช็คยังไม่ขึ้นเงิน" sheetId="14" r:id="rId14"/>
    <sheet name="งบกระทบยอดเงินฝากธนาคาร" sheetId="15" r:id="rId15"/>
    <sheet name="กระดาษทำการกระทบยอด" sheetId="16" r:id="rId16"/>
    <sheet name="Sheet2" sheetId="17" r:id="rId17"/>
    <sheet name="การคิดเรียกเงินคืน" sheetId="18" r:id="rId18"/>
    <sheet name="Sheet1" sheetId="19" r:id="rId19"/>
  </sheets>
  <definedNames/>
  <calcPr fullCalcOnLoad="1"/>
</workbook>
</file>

<file path=xl/sharedStrings.xml><?xml version="1.0" encoding="utf-8"?>
<sst xmlns="http://schemas.openxmlformats.org/spreadsheetml/2006/main" count="1737" uniqueCount="385">
  <si>
    <t>รายการ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</si>
  <si>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</si>
  <si>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</si>
  <si>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</si>
  <si>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</si>
  <si>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</si>
  <si>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</si>
  <si>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  (หมายเหตุ 2)</t>
  </si>
  <si>
    <t>รหัสบัญชี</t>
  </si>
  <si>
    <t>รายจ่าย</t>
  </si>
  <si>
    <t xml:space="preserve">          เงินเดือน</t>
  </si>
  <si>
    <t xml:space="preserve">          ค่าจ้างชั่วคราว</t>
  </si>
  <si>
    <t xml:space="preserve">          ค่าตอบแทน</t>
  </si>
  <si>
    <t xml:space="preserve">          ค่าใช้สอย</t>
  </si>
  <si>
    <t xml:space="preserve">          ค่าวัสดุ</t>
  </si>
  <si>
    <t xml:space="preserve">          ค่าสาธารณูปโภค</t>
  </si>
  <si>
    <t xml:space="preserve">          เงินอุดหนุน</t>
  </si>
  <si>
    <t xml:space="preserve">          ค่าครุภัณฑ์</t>
  </si>
  <si>
    <t xml:space="preserve">          ค่าที่ดินและสิ่งก่อสร้าง</t>
  </si>
  <si>
    <t>สูงกว่า</t>
  </si>
  <si>
    <t>เดบิต</t>
  </si>
  <si>
    <t>เครดิต</t>
  </si>
  <si>
    <t>เงินสะสม</t>
  </si>
  <si>
    <t>ยอดยกมา</t>
  </si>
  <si>
    <t>รวม</t>
  </si>
  <si>
    <t>รายละเอียดเงินฝากธนาคาร</t>
  </si>
  <si>
    <t>ภาษีหัก  ณ  ที่จ่าย</t>
  </si>
  <si>
    <t>เงินรางวัลนำจับ</t>
  </si>
  <si>
    <t>รายละเอียดรายรับ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</si>
  <si>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</si>
  <si>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</si>
  <si>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</si>
  <si>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</si>
  <si>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ค่าใบอนุญาตเกี่ยวกับการควบคุมอาคาร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</si>
  <si>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</si>
  <si>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</si>
  <si>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</si>
  <si>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</si>
  <si>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</si>
  <si>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ค่าภาคหลวงปิโตรเลียม</t>
  </si>
  <si>
    <t>อากรการฆ่าสัตว์</t>
  </si>
  <si>
    <t>ใบอนุญาตอื่น ๆ (ใบอนุญาตประกอบการค้าที่เป็นอันตรายต่อสุขภาพ)</t>
  </si>
  <si>
    <t>รายได้จากสาธารณูปโภคและการพาณิชย์ (รายได้จากการจำหน่ายน้ำประปา)</t>
  </si>
  <si>
    <t>ค่าขายแบบแปลน</t>
  </si>
  <si>
    <t>ค่าภาคหลวงและค่าธรรมเนียมป่าไม้</t>
  </si>
  <si>
    <t>ค่าภาคหลวงแร่</t>
  </si>
  <si>
    <t>ค่าปรับผู้กระทำผิดกฎหมายจราจรทางบก</t>
  </si>
  <si>
    <t>อำเภอโนนแดง   จังหวัดนครราชสีมา</t>
  </si>
  <si>
    <t>จนถึงปัจจุบัน</t>
  </si>
  <si>
    <t>เดือนนี้</t>
  </si>
  <si>
    <t>ประกอบการ</t>
  </si>
  <si>
    <t>เกิดขึ้นจริง</t>
  </si>
  <si>
    <t>(บาท)</t>
  </si>
  <si>
    <t>ค่าธรรมเนียม  ค่าปรับ  และใบอนุญาต</t>
  </si>
  <si>
    <t xml:space="preserve">          งบกลาง</t>
  </si>
  <si>
    <t xml:space="preserve">          เงินสะสม</t>
  </si>
  <si>
    <t xml:space="preserve">          ลูกหนี้เงินยืม เงินงบประมาณ</t>
  </si>
  <si>
    <t xml:space="preserve">          รายจ่ายค้างจ่าย (เบิกตัดปี)</t>
  </si>
  <si>
    <t xml:space="preserve">          เงินฝากคลัง</t>
  </si>
  <si>
    <t>รวมรายจ่าย</t>
  </si>
  <si>
    <t>( ต่ำกว่า )</t>
  </si>
  <si>
    <t>เงินมัดจำประกันสัญญา</t>
  </si>
  <si>
    <t>ค่าใช้จ่ายในการจัดเก็บภาษีบำรุงท้องที่  5%</t>
  </si>
  <si>
    <t>ส่วนลดในการจัดเก็บภาษีบำรุงท้องที่  6%</t>
  </si>
  <si>
    <t>กระดาษทำการกระทบยอด</t>
  </si>
  <si>
    <t>งบประมาณรายจ่าย</t>
  </si>
  <si>
    <t>แผนงาน / งาน</t>
  </si>
  <si>
    <t xml:space="preserve">หมวด / </t>
  </si>
  <si>
    <t>ประเภทรายจ่าย</t>
  </si>
  <si>
    <t>รวมเดือนนี้</t>
  </si>
  <si>
    <t>รวมแต่ต้นปี</t>
  </si>
  <si>
    <t xml:space="preserve">รายงานรับ – จ่าย  เงินสด  </t>
  </si>
  <si>
    <t>เงินโครงการเศรษฐกิจชุมชน # 2</t>
  </si>
  <si>
    <t xml:space="preserve">งบทดลอง  </t>
  </si>
  <si>
    <t>รายละเอียดเงินรายรับ</t>
  </si>
  <si>
    <t xml:space="preserve">เงินภาษีหัก ณ ที่จ่าย </t>
  </si>
  <si>
    <t xml:space="preserve">          เงินรับฝาก (หมายเหตุ 3)</t>
  </si>
  <si>
    <t>ค่าปรับการผิดสัญญา</t>
  </si>
  <si>
    <t>รวมเดือนนี้ทั้งสิ้น</t>
  </si>
  <si>
    <t>รวมแต่ต้นปีทั้งสิ้น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</si>
  <si>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</si>
  <si>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</si>
  <si>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</si>
  <si>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</si>
  <si>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</si>
  <si>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</si>
  <si>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</si>
  <si>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</si>
  <si>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</si>
  <si>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ตำแหน่ง    เจ้าพนักงานการเงินและบัญชี</t>
  </si>
  <si>
    <t>ตำแหน่ง   หัวหน้าส่วนการคลัง</t>
  </si>
  <si>
    <t xml:space="preserve">          รายจ่ายงบกลาง</t>
  </si>
  <si>
    <t>ดอกเบี้ยเงินฝากธนาคาร</t>
  </si>
  <si>
    <t>รายจ่ายงบกลาง</t>
  </si>
  <si>
    <t xml:space="preserve">รายได้เบ็ดเตล็ดอื่น ๆ </t>
  </si>
  <si>
    <t xml:space="preserve">   </t>
  </si>
  <si>
    <t>เงินค้ำประกันหลักประกันซอง</t>
  </si>
  <si>
    <t xml:space="preserve"> </t>
  </si>
  <si>
    <t>รายละเอียดเงินรับฝาก (จ่าย)</t>
  </si>
  <si>
    <t>รายละเอียดเงินรับฝาก (รับ)</t>
  </si>
  <si>
    <t>องค์การบริหารส่วนตำบลดอนยาวใหญ่</t>
  </si>
  <si>
    <r>
      <t>บวก</t>
    </r>
    <r>
      <rPr>
        <b/>
        <sz val="16"/>
        <rFont val="TH SarabunPSK"/>
        <family val="2"/>
      </rPr>
      <t>:     เงินฝากธนาคาร</t>
    </r>
  </si>
  <si>
    <r>
      <t>หัก</t>
    </r>
    <r>
      <rPr>
        <b/>
        <sz val="16"/>
        <rFont val="TH SarabunPSK"/>
        <family val="2"/>
      </rPr>
      <t>:     เช็คจ่ายที่ผู้รับยังไม่นำมาขึ้นเงินกับธนาคาร</t>
    </r>
  </si>
  <si>
    <r>
      <t>บวก</t>
    </r>
    <r>
      <rPr>
        <b/>
        <sz val="16"/>
        <rFont val="TH SarabunPSK"/>
        <family val="2"/>
      </rPr>
      <t xml:space="preserve">:      หรือ ( หัก )  รายการกระทบยอดอื่น ๆ </t>
    </r>
  </si>
  <si>
    <t>ลำดับที่</t>
  </si>
  <si>
    <t>วันที่ลงในเช็ค</t>
  </si>
  <si>
    <t>ชื่อผู้รับเงิน</t>
  </si>
  <si>
    <t>หมายเหตุ</t>
  </si>
  <si>
    <t>1</t>
  </si>
  <si>
    <t>2</t>
  </si>
  <si>
    <t>3</t>
  </si>
  <si>
    <t>4</t>
  </si>
  <si>
    <t>5</t>
  </si>
  <si>
    <t>6</t>
  </si>
  <si>
    <t xml:space="preserve"> ลงชื่อ…………………………ผู้จัดทำ</t>
  </si>
  <si>
    <t>เช็คที่อนุมัติแล้วผู้มีสิทธิยังไม่มารับ (ประกอบงบกระทบยอดเงินฝากธนาคาร)</t>
  </si>
  <si>
    <t xml:space="preserve">เงินฝากธนาคาร กรุงไทย ออมทรัพย์ สาขาบัวใหญ่  เลขที่บัญชี 302-0-02969-4 </t>
  </si>
  <si>
    <t>ธนาคารเพื่อการเกษตรและสหกรณ์การเกษตร  สาขาโนนแดง</t>
  </si>
  <si>
    <t>เลขที่บัญชี     685-2-57406-8</t>
  </si>
  <si>
    <t>(บัญชีเงินทุนโครงการเศรษฐกิจชุมชน อบต.</t>
  </si>
  <si>
    <t>ดอนยาวใหญ่)</t>
  </si>
  <si>
    <t>เลขที่บัญชี     685-8-00020-5</t>
  </si>
  <si>
    <t>องค์การบริหารส่วนตำบลดอนยาวใหญ่ อำเภอโนนแดง จังหวัดนครราชสีมา</t>
  </si>
  <si>
    <t>สาขาโนนแดง</t>
  </si>
  <si>
    <t>เงินฝากออมทรพย์ กรุงไทย เลขที่ 302-0-02969-4</t>
  </si>
  <si>
    <t>สาขาบัวใหญ่</t>
  </si>
  <si>
    <t>องค์การบริหารส่วนตำบลดอนยาวใหญ่  อำเภอโนนแดง  จังหวัดนครราชสีมา</t>
  </si>
  <si>
    <t>ดอกเบี้ยและค่าปรับเงินทุนโครงการเศรษฐกิจชุมชน</t>
  </si>
  <si>
    <t>ดอกเบี้ยเงินฝากโครงการถ่ายโอนบริการสาธารณะฯ</t>
  </si>
  <si>
    <t>ค่าธรรมเนียมเก็บขยะมูลฝอย</t>
  </si>
  <si>
    <t>ส่วนลดในการจัดเก็บภาษีบำรุงท้องที่ 6%</t>
  </si>
  <si>
    <t>ค่าธรรมเนียมปิดป้ายประกาศ</t>
  </si>
  <si>
    <t>ค่าเช่าหรือบริการสถานที่</t>
  </si>
  <si>
    <t xml:space="preserve">รายได้เบ็คเตล็ดอื่น ๆ </t>
  </si>
  <si>
    <t>เงินสด</t>
  </si>
  <si>
    <t xml:space="preserve">          ลูกหนี้เงินยืม เงินนอกประมาณ</t>
  </si>
  <si>
    <t>เงินฝากออมทรัพย์  ธกส.  เลขที่  685-8-00020-5</t>
  </si>
  <si>
    <t>เงินฝากออมทรัพย์  ธกส.  เลขที่  685-2-57406-8</t>
  </si>
  <si>
    <t>ค่าธรรมเนียมเก็บและขนมูลฝอย</t>
  </si>
  <si>
    <t xml:space="preserve">  </t>
  </si>
  <si>
    <t>5000</t>
  </si>
  <si>
    <t>ธนาคารกรุงไทย จำกัด (มหาชน)   สาขาบัวใหญ่</t>
  </si>
  <si>
    <t>เลขที่บัญชี     302-0-02969-4</t>
  </si>
  <si>
    <t xml:space="preserve">                                                       </t>
  </si>
  <si>
    <t>เบิกเกินส่งคืน</t>
  </si>
  <si>
    <t>ตาม พ.ร.บ.</t>
  </si>
  <si>
    <t xml:space="preserve"> 1/9</t>
  </si>
  <si>
    <t>7</t>
  </si>
  <si>
    <t>(นางศิรินทรา  คำกัญญา)</t>
  </si>
  <si>
    <t xml:space="preserve">เงินฝากธนาคาร ธกส. ออมทรัพย์ สาขาโนนแดง เลขที่บัญชี 685-8-00020-5 </t>
  </si>
  <si>
    <t>8</t>
  </si>
  <si>
    <t>9</t>
  </si>
  <si>
    <t>10</t>
  </si>
  <si>
    <t>เจ้าพนักงานการเงินและบัญชี</t>
  </si>
  <si>
    <t>การไฟฟ้าส่วนภูมิภาคอำเภอประทาย</t>
  </si>
  <si>
    <t xml:space="preserve"> 9 มกราคม 2555</t>
  </si>
  <si>
    <t>บริษัท คันทรีเฟรส แดรี่ จำกัด</t>
  </si>
  <si>
    <t>กรมตรวจ</t>
  </si>
  <si>
    <t>ยอดคงเหลือตามรายงานธนาคาร  ณ  วันที่  6  กุมภาพันธ์  2555</t>
  </si>
  <si>
    <t>ยอดคงเหลือตามบัญชี  ณ  วันที่  6  กุมภาพันธ์  2555</t>
  </si>
  <si>
    <t xml:space="preserve"> 2 กุมภาพันธ์ 2555</t>
  </si>
  <si>
    <t>ลงชื่อ                            วันที่ 6  กุมภาพันธ์ 2555</t>
  </si>
  <si>
    <t>ลงชื่อ                            วันที่  6  กุมภาพันธ์  2555</t>
  </si>
  <si>
    <t xml:space="preserve"> 1 กุมภาพันธ์ 2555</t>
  </si>
  <si>
    <t>ยอดคงเหลือตามบัญชี  ณ  วันที่  6 กุมภาพันธ์ 2555</t>
  </si>
  <si>
    <t>ลงชื่อ                           วันที่  6 กุมภาพันธ์ 2555</t>
  </si>
  <si>
    <t>เลขที่บัญชี     302-6-03192-5</t>
  </si>
  <si>
    <t xml:space="preserve"> เงินรายรับยังไม่รับเข้าบัญชี</t>
  </si>
  <si>
    <t>6  กุมภาพันธ์  2555</t>
  </si>
  <si>
    <t>กรมสรรพากร</t>
  </si>
  <si>
    <t>บริษัท กิ่งเพชร โอ.เอ. จำกัด</t>
  </si>
  <si>
    <t>สหกรณ์การเกษตรโนนแดง จำกัด</t>
  </si>
  <si>
    <t>คณะบุคคลกลุ่มเครื่องนอนใยสังเคราะห์</t>
  </si>
  <si>
    <t>เช็คที่อนุมัติแล้วผู้มีสิทธิยังไม่เบิกเงิน (ประกอบงบกระทบยอดเงินฝากธนาคาร)</t>
  </si>
  <si>
    <t>(ตามรายละเอียดแนบ)</t>
  </si>
  <si>
    <t>(รายละเอียดแนบ)</t>
  </si>
  <si>
    <t>ยอดคงเหลือตามรายงานเงินคงเหลือประจำวัน  ณ  วันที่  6  กุมภาพันธ์  2555</t>
  </si>
  <si>
    <t>0282689</t>
  </si>
  <si>
    <t>ธนาคาร ธกส.</t>
  </si>
  <si>
    <t>ยังไม่รับรู้เป็นรายได้</t>
  </si>
  <si>
    <r>
      <t>บวก</t>
    </r>
    <r>
      <rPr>
        <b/>
        <sz val="16"/>
        <color indexed="10"/>
        <rFont val="TH SarabunPSK"/>
        <family val="2"/>
      </rPr>
      <t>:     เงินฝากธนาคาร</t>
    </r>
  </si>
  <si>
    <r>
      <t>หัก</t>
    </r>
    <r>
      <rPr>
        <b/>
        <sz val="16"/>
        <color indexed="10"/>
        <rFont val="TH SarabunPSK"/>
        <family val="2"/>
      </rPr>
      <t>:     เช็คจ่ายที่ผู้รับยังไม่นำมาขึ้นเงินกับธนาคาร</t>
    </r>
  </si>
  <si>
    <r>
      <t>บวก</t>
    </r>
    <r>
      <rPr>
        <b/>
        <sz val="16"/>
        <color indexed="10"/>
        <rFont val="TH SarabunPSK"/>
        <family val="2"/>
      </rPr>
      <t xml:space="preserve">:      หรือ ( หัก )  รายการกระทบยอดอื่น ๆ </t>
    </r>
  </si>
  <si>
    <t>ภาษีหัก หน้าฏีกา</t>
  </si>
  <si>
    <t>เงินรับฝาก-ค่าขายแบบแปลนโครงการไทยเข้มแข็ง</t>
  </si>
  <si>
    <t>ยอดจ่ายขาดเงินสะสมเพื่อจ่ายค่าตอบแทนผู้บริหารสมาชิก</t>
  </si>
  <si>
    <t>ยอดเงินเบิก</t>
  </si>
  <si>
    <t>ยอดจ่ายคืน</t>
  </si>
  <si>
    <t>เงินเดือนผู้บริหารเดือน ก.ค. 55</t>
  </si>
  <si>
    <t>ยอดหักส่งใช้เงินคืน</t>
  </si>
  <si>
    <t>เงินเดือนเลขาเดือน ก.ค. 55</t>
  </si>
  <si>
    <t>ค่าตอบแทนสมาชิก ก.ค. 55</t>
  </si>
  <si>
    <t>(ราภิน)</t>
  </si>
  <si>
    <t>ยอดหักที่ไม่ได้จ่ายเงิน</t>
  </si>
  <si>
    <t>เลขที่บัญชี     01685-8-00020-5</t>
  </si>
  <si>
    <t>(นางประไพ    โมรานอก)</t>
  </si>
  <si>
    <t>นักวิชาการการเงินและบัญชี</t>
  </si>
  <si>
    <t>ตำแหน่ง    นักวิชาการเงินและบัญชี</t>
  </si>
  <si>
    <t xml:space="preserve">เงินอุดหนุนแฉพาะกิจค้างรับ </t>
  </si>
  <si>
    <t>ยอดคงเหลือตามรายงานธนาคาร  ณ  วันที่  28  กุมภาพันธ์  2556</t>
  </si>
  <si>
    <t xml:space="preserve">   28  กุมภาพันธ์ 2556</t>
  </si>
  <si>
    <t>ยอดคงเหลือตามบัญชี  ณ  วันที่  28  กุมภาพันธ์  2556</t>
  </si>
  <si>
    <t>ลงชื่อ                           วันที่  28 กุมภาพันธ์  2556</t>
  </si>
  <si>
    <t>ลงชื่อ                           วันที่  28  กุมภาพันธ์  2556</t>
  </si>
  <si>
    <t>ยอดคงเหลือตามรายงานธนาคาร  ณ  วันที่  13  มีนาคม  2556</t>
  </si>
  <si>
    <t>ยอดคงเหลือตามบัญชี  ณ  วันที่  13  มีนาคม  2556</t>
  </si>
  <si>
    <t>ลงชื่อ                            วันที่  13  มีนาคม  2556</t>
  </si>
  <si>
    <t>ลงชื่อ                        วันที่  13  มีนาคม  2556</t>
  </si>
  <si>
    <t>จังหวัดตรวจ 13 มีนาคม  2556</t>
  </si>
  <si>
    <t>ลงชื่อ                            วันที่ 13  มีนาคม 2556</t>
  </si>
  <si>
    <t>ยอดคงเหลือตามบัญชี  ณ  วันที่   13  มีนาคม  2556</t>
  </si>
  <si>
    <r>
      <t>บวก</t>
    </r>
    <r>
      <rPr>
        <b/>
        <sz val="16"/>
        <color indexed="8"/>
        <rFont val="TH SarabunPSK"/>
        <family val="2"/>
      </rPr>
      <t>:     เงินฝากธนาคาร</t>
    </r>
  </si>
  <si>
    <r>
      <t>หัก</t>
    </r>
    <r>
      <rPr>
        <b/>
        <sz val="16"/>
        <color indexed="8"/>
        <rFont val="TH SarabunPSK"/>
        <family val="2"/>
      </rPr>
      <t>:     เช็คจ่ายที่ผู้รับยังไม่นำมาขึ้นเงินกับธนาคาร</t>
    </r>
  </si>
  <si>
    <r>
      <t>บวก</t>
    </r>
    <r>
      <rPr>
        <b/>
        <sz val="16"/>
        <color indexed="8"/>
        <rFont val="TH SarabunPSK"/>
        <family val="2"/>
      </rPr>
      <t xml:space="preserve">:      หรือ ( หัก )  รายการกระทบยอดอื่น ๆ </t>
    </r>
  </si>
  <si>
    <t>พี่เพ็ญตรวจมาตราฐาน 2 เมษายน 2556</t>
  </si>
  <si>
    <t>เงินอุดหนุนเฉพาะกิจผู้สูงอายุ, ผู้พิการ</t>
  </si>
  <si>
    <t>ยอดคงเหลือตามรายงานธนาคาร  ณ  วันที่  31  กรกฎาคม  2556</t>
  </si>
  <si>
    <t>ยอดคงเหลือตามบัญชี  ณ  วันที่  31  กรกฎาคม  2556</t>
  </si>
  <si>
    <t>ลงชื่อ                          วันที่  31  กรกฎาคม  2556</t>
  </si>
  <si>
    <t>ยอดคงเหลือตามรายงานธนาคาร  ณ  วันที่  28  กันยายน  2555</t>
  </si>
  <si>
    <t xml:space="preserve">  28  กันยายน 2556</t>
  </si>
  <si>
    <t>3260458</t>
  </si>
  <si>
    <t>3260459</t>
  </si>
  <si>
    <t>3260460</t>
  </si>
  <si>
    <t>7306881</t>
  </si>
  <si>
    <t>7306882</t>
  </si>
  <si>
    <t>7306883</t>
  </si>
  <si>
    <t>สตง ตรวจ 5-6 สิงหาคม 2556</t>
  </si>
  <si>
    <t>ยอดคงเหลือตามบัญชี  ณ  วันที่   28  กันยายน  2556</t>
  </si>
  <si>
    <t>ลงชื่อ                        วันที่  28  กันยายน  2555</t>
  </si>
  <si>
    <t>ลงชื่อ                           วันที่  28  กันยายน  2555</t>
  </si>
  <si>
    <t>ยอดคงเหลือตามบัญชี  ณ  วันที่  28  กันยายน  2555</t>
  </si>
  <si>
    <t>ลงชื่อ                            วันที่  28  กันยายน  2555</t>
  </si>
  <si>
    <t>ลงชื่อ                          วันที่  28  กันยายน  255ถ</t>
  </si>
  <si>
    <t>28  กันยายน  2555</t>
  </si>
  <si>
    <t>28  กันยายน 2556</t>
  </si>
  <si>
    <t>หจก.รวมวิทยา</t>
  </si>
  <si>
    <t>ร้านรวมสินทรัพย์</t>
  </si>
  <si>
    <t>บริษัท กิ่งเพชรโอเอ จำกัด</t>
  </si>
  <si>
    <t>สหกรณ์การเกษตรโนนแดง</t>
  </si>
  <si>
    <t>ร้านโอพีโปรดักส์</t>
  </si>
  <si>
    <t>(นางประไพ   โมรานอก)</t>
  </si>
  <si>
    <t>นักวิชาการเงินและบัญชี</t>
  </si>
  <si>
    <t xml:space="preserve"> ลงชื่อ……………............……………ผู้จัดทำ</t>
  </si>
  <si>
    <t xml:space="preserve">          รายจ่ายอื่น</t>
  </si>
  <si>
    <t xml:space="preserve">หมายเหตุ ( 1 ) ประกอบงบรายงานรับ – จ่ายเงินสด  </t>
  </si>
  <si>
    <t xml:space="preserve">หมายเหตุ ( 2 ) ประกอบงบรายงานรับ – จ่ายเงินสด  </t>
  </si>
  <si>
    <t xml:space="preserve">หมายเหตุ ( 3 ) ประกอบงบรายงานรับ – จ่ายเงินสด  </t>
  </si>
  <si>
    <t xml:space="preserve">หมายเหตุ ( 1 ) ประกอบงบทดลอง  </t>
  </si>
  <si>
    <t xml:space="preserve">หมายเหตุ ( 2 ) ประกอบงบทดลอง  </t>
  </si>
  <si>
    <t xml:space="preserve">หมายเหตุ ( 3 ) ประกอบงบทดลอง  </t>
  </si>
  <si>
    <t>องค์การบริหารส่วนตำบลดอนยาวใหญ่  อำเภอโนนแดง จังหวัดนครราชสีมา</t>
  </si>
  <si>
    <t>รายละเอียดเงินรับฝาก</t>
  </si>
  <si>
    <t>เบี้ยยังชีพผู้สูงอายุ ปี 55</t>
  </si>
  <si>
    <t>เบี้ยยังชีพผู้พิการ ปี 55</t>
  </si>
  <si>
    <t>เบี้ยยังชีพผู้สูงอายุ ปี 56</t>
  </si>
  <si>
    <t>เบี้ยยังชีพผู้พิการ ปี 56</t>
  </si>
  <si>
    <t>ยอดคงเหลือตามรายงานธนาคาร  ณ  วันที่  31  ตุลาคม  2556</t>
  </si>
  <si>
    <t xml:space="preserve">เงินอุดหนุนเฉพาะกิจ(รับ) </t>
  </si>
  <si>
    <t>เงินฝากเผื่อเรียก ออมสิน  เลขที่  020111884951</t>
  </si>
  <si>
    <t>สาขาประทาย</t>
  </si>
  <si>
    <t>ตำแหน่ง   ผอ.การคลัง</t>
  </si>
  <si>
    <t>ตำแหน่ง   ผอ.กองคลัง</t>
  </si>
  <si>
    <t>ธนาคารออมสิน  สาขาประทาย</t>
  </si>
  <si>
    <t>เลขที่บัญชี     020111884951</t>
  </si>
  <si>
    <t>ตำแหน่ง    ผอ.กองคลัง</t>
  </si>
  <si>
    <t>ลูกหนี้ - ภาษีหัก ณ ที่จ่าย</t>
  </si>
  <si>
    <t>เงินฝากกรุงไทย กระแสรายวัน เลขที่ 302-6-03192-5</t>
  </si>
  <si>
    <t>ดอกเบี้ย(ธ.กรุงไทย, ธกส.,ออมสิน)</t>
  </si>
  <si>
    <t>เงินอุดหนุนเฉพาะกิจ ครู ศพด/ ผดด./ประกันสังคม</t>
  </si>
  <si>
    <t xml:space="preserve">      รายรับ                       รายจ่าย</t>
  </si>
  <si>
    <t xml:space="preserve">เงินอุดหนุนทั่วไป </t>
  </si>
  <si>
    <t>บัญชีเงินฝากธนาคาร –กระแสรายวัน ธนาคารกรุงไทย</t>
  </si>
  <si>
    <t>บัญชีเงินฝากธนาคาร –ออมทรัพย์  ( หมายเหตุประกอบ 1 )</t>
  </si>
  <si>
    <t>บัญชีเงินอุดหนุนเฉพาะกิจ- ฝากจังหวัด (วัสดุการศึกษา ศพด.)</t>
  </si>
  <si>
    <t>รายได้ค้างรับ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</si>
  <si>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</si>
  <si>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</si>
  <si>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</si>
  <si>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</si>
  <si>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</si>
  <si>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</si>
  <si>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</si>
  <si>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</si>
  <si>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</si>
  <si>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</si>
  <si>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ลูกหนี้เงินยืมเงินงบประมาณ</t>
  </si>
  <si>
    <t>ลูกหนี้เงินยืมเงินนอกงบประมาณ</t>
  </si>
  <si>
    <t>ลูกหนี้-เงินโครงการทุนเศรษฐกิจชุมชน</t>
  </si>
  <si>
    <t>บัญชีเงินรับฝาก  ( หมายเหตุประกอบ 2 )</t>
  </si>
  <si>
    <t>บัญชีเงินรายรับ ( หมายเหตุประกอบ 3 )</t>
  </si>
  <si>
    <t>เงินนอกงบประมาณ - เงินทุนโครงการเศรษฐกิจชุมชน</t>
  </si>
  <si>
    <t>บัญชีเงินสะสม</t>
  </si>
  <si>
    <t>บัญชีเงินทุนสำรองเงินสะสม</t>
  </si>
  <si>
    <t>เบี้ยยังชีพผู้สูงอายุ ปี 57</t>
  </si>
  <si>
    <t>เบี้ยยังชีพผู้พิการ ปี 57</t>
  </si>
  <si>
    <t>เงินอุดหนุนทั่วไป (ผู้สูงอายุ, พิการ)</t>
  </si>
  <si>
    <t>เงินอุดหนุนทั่วไประบุวัตถุประสงค์</t>
  </si>
  <si>
    <t xml:space="preserve">    เงินอุดหนุนทั่วไประบุวัตถุประสงค์</t>
  </si>
  <si>
    <t>เงินอุดหนุนทั่วไป (ระบุวัตถุประสงค์)</t>
  </si>
  <si>
    <t>เงินอุดหนุนเฉพาะกิจ(เงินทุนการศึกษา)</t>
  </si>
  <si>
    <r>
      <t>รายรับ</t>
    </r>
    <r>
      <rPr>
        <sz val="16"/>
        <rFont val="TH SarabunPSK"/>
        <family val="2"/>
      </rPr>
      <t xml:space="preserve"> (หมายเหตุ  1)</t>
    </r>
  </si>
  <si>
    <t xml:space="preserve">           (นางสาวสุภาภรณ์  บุญเกษมสิน)                  (นายศักดิ์ชัย  สิงห์บุราณ)                 (นายสุนทรพงษ์  มณีสุคนธ์)</t>
  </si>
  <si>
    <t xml:space="preserve">                        ผอ.กองคลัง                         ปลัดองค์การบริหารส่วนตำบล                  นายก อบต.ดอนยาวใหญ่</t>
  </si>
  <si>
    <t xml:space="preserve">    (ลงชื่อ)…………………...…………………         (ลงชื่อ)……….....…………..……………         (ลงชื่อ)……………....…………………</t>
  </si>
  <si>
    <t>เงินมัดจำประกันซอง</t>
  </si>
  <si>
    <t>ปีงบประมาณ  2559</t>
  </si>
  <si>
    <t xml:space="preserve">          เงินอุดหนุนเฉพาะกิจเร่งด่วนปี 57</t>
  </si>
  <si>
    <t xml:space="preserve">          ค่าใช้จ่ายค้างจ่าย</t>
  </si>
  <si>
    <t>ค่าใช้จ่ายผู้ผ่านการบำบัดพิ้นฟู</t>
  </si>
  <si>
    <t>ค่าใช้จ่ายในการส่งเสริมการบำบัดพิ้นฟู</t>
  </si>
  <si>
    <t>เงินอุดหนุนเฉพาะกิจกรณีเร่งด่วน ม. 10</t>
  </si>
  <si>
    <t>เงินอุดหนุนเฉพาะกิจกรณีเร่งด่วน (คสล, บ้านนาดี ม, 10)</t>
  </si>
  <si>
    <t>เงินอุดหนุนระบุวัตถุประสงค์(พิการ) รับคืน</t>
  </si>
  <si>
    <t>ลูกหนี้ - ภาษีบำรุงท้องที่</t>
  </si>
  <si>
    <t>เงินอุดหนุนเฉพาะกิจ(กรณีเร่งด่วน ปี 57)</t>
  </si>
  <si>
    <t>(ลงชื่อ)…………………………                     (ลงชื่อ)……….....…………                      (ลงชื่อ)……………....…………….</t>
  </si>
  <si>
    <t>ยอดคงเหลือตามรายงานธนาคาร  ณ  วันที่  21  มีนาคม  2559</t>
  </si>
  <si>
    <t>ยอดคงเหลือตามบัญชี  ณ  วันที่  21 มีนาคม  2559</t>
  </si>
  <si>
    <t>ลงชื่อ                       วันที่ 21  มีนาคม  2559</t>
  </si>
  <si>
    <t>ลงชื่อ                          วันที่   21  มีนาคม  2559</t>
  </si>
  <si>
    <t>เลขที่บัญชี     302-0-02964-4</t>
  </si>
  <si>
    <t>จังหวัดตรวจ  21  มีนาคม  2559</t>
  </si>
  <si>
    <t>เงินอุดหนุนเฉพาะกิจ(รับ)  อบจ</t>
  </si>
  <si>
    <t>เงินอุดหนุนเฉพาะกิจ(รับ) อบจ.</t>
  </si>
  <si>
    <t>ประจำเดือน   กันยายน  พ.ศ.  2559</t>
  </si>
  <si>
    <t xml:space="preserve">                                                                         </t>
  </si>
  <si>
    <t>ดอกเบี้ย(ธนาคาร ออมสิน, ธนาคาร ธกส.)</t>
  </si>
  <si>
    <t>ประจำเดือน   ตุลาคม  พ.ศ.  2559</t>
  </si>
  <si>
    <t>เงินอุดหนุนทั่วไป</t>
  </si>
  <si>
    <t>ปีงบประมาณ  2560</t>
  </si>
  <si>
    <t>ประจำเดือน  พฤศจิกายน  พ.ศ.  2559</t>
  </si>
  <si>
    <t>ประจำเดือน  ธันวาคม  พ.ศ.  2559</t>
  </si>
  <si>
    <t xml:space="preserve">                        ผอ.กองคลัง         หัวหน้าสำนักปลัด รก. ปลัดองค์การบริหารส่วนตำบล      </t>
  </si>
  <si>
    <t xml:space="preserve">           (นางสาวสุภาภรณ์  บุญเกษมสิน)           (นางสาวอำนวยรัตน์  พรมเสน)                                               </t>
  </si>
  <si>
    <t>ประจำเดือน  มกราคม  พ.ศ.  2560</t>
  </si>
  <si>
    <t xml:space="preserve">          เงินอุดหนุนเฉพาะกิจ (สปสช)</t>
  </si>
  <si>
    <t>เงิอุดหนุนเฉพาะกิจ  (สปสช)</t>
  </si>
  <si>
    <t>โครงการ สปสช.</t>
  </si>
  <si>
    <t>ประจำเดือน  มีนาคม  พ.ศ.  2560</t>
  </si>
  <si>
    <t>ประจำเดือน  เมษายน  พ.ศ.  2560</t>
  </si>
  <si>
    <t xml:space="preserve">                        ผอ.กองคลัง                    ปลัดองค์การบริหารส่วนตำบล      </t>
  </si>
  <si>
    <t xml:space="preserve">           (นางสาวสุภาภรณ์  บุญเกษมสิน)             (นายปิยะพงษ์   ตรีศักดิ์)                                               </t>
  </si>
  <si>
    <t>ณ   วันที่  31  พฤษภาคม  2560</t>
  </si>
  <si>
    <t xml:space="preserve">    (ลงชื่อ)…………………...…………………         (ลงชื่อ)……….....…………..……………        (ลงชื่อ)……………....…………………</t>
  </si>
  <si>
    <t xml:space="preserve">           (นางสาวสุภาภรณ์  บุญเกษมสิน)             (นายปิยะพงษ์   ตรีศักดิ์)                         (นายสุนทรพงษ์  มณีสุคนธ์)                               </t>
  </si>
  <si>
    <t xml:space="preserve">                        ผอ.กองคลัง                    ปลัดองค์การบริหารส่วนตำบล            นายกองค์การบริหารส่วนตำบลดอนยาวใหญ่ </t>
  </si>
  <si>
    <t xml:space="preserve">             ผอ.กองคลัง                           ปลัดองค์การบริหารส่วนตำบล       นายกองค์การบริหารส่วนตำบลดอนยาวใหญ่        </t>
  </si>
  <si>
    <t xml:space="preserve">   (นางสาวสุภาภรณ์ บุญเกษมสิน)                (นายปิยะพงษ์   ตรีศักดิ์)                       (นายสุนทรพงษ์  มณีสุคนธ์)     </t>
  </si>
  <si>
    <t>SZ'</t>
  </si>
  <si>
    <t>ประจำเดือน  หฤษภาคม  พ.ศ.  2560</t>
  </si>
  <si>
    <t>ประจำเดือน  มิถุนายน  พ.ศ.  2560</t>
  </si>
  <si>
    <t>ณ   วันที่  30  มิถุนายน  2560</t>
  </si>
  <si>
    <t>เงินกองทุนพื้นฟูสมรรถภาพที่จำเป็นต่อสูขภาพระดับจังหวัด</t>
  </si>
  <si>
    <t>ณ   วันที่  30  มิถุนายน   2560</t>
  </si>
  <si>
    <t>เงินกองทุนฟื้นฟูสมรรถภาพที่จำเป็นต่อสุขภาพระดับจังหวัด</t>
  </si>
  <si>
    <t>ลงชื่อ                       วันที่  30  มิถุนายน  2560</t>
  </si>
  <si>
    <t>ลงชื่อ                          วันที่   30  มิถุนายน  2560</t>
  </si>
  <si>
    <t>ยอดคงเหลือตามบัญชี  ณ  วันที่  30  มิถุนายน  2560</t>
  </si>
  <si>
    <t>ยอดคงเหลือตามรายงานธนาคาร  ณ  วันที่  30  มิถุนายน  2560</t>
  </si>
  <si>
    <t>ลงชื่อ                           วันที่  30  มิถุนายน  2560</t>
  </si>
  <si>
    <t>ลงชื่อ                          วันที่  30  มิถุนายน  2560</t>
  </si>
  <si>
    <t>ยอดคงเหลือตามรายงานธนาคาร  ณ  วันที่   30  มิถุนายน  2560</t>
  </si>
  <si>
    <t>ลงชื่อ                             วันที่  30  มิถุนายน  2560</t>
  </si>
  <si>
    <t>ประจำเดือน  มิถุนายน  2560</t>
  </si>
  <si>
    <t>ณ วันที่  30  มิถุนายน   2560</t>
  </si>
  <si>
    <t>20114443</t>
  </si>
  <si>
    <t>15 มิถุนายน  2560</t>
  </si>
  <si>
    <t>นายเสมียน  ทองดี</t>
  </si>
  <si>
    <t>20114446</t>
  </si>
  <si>
    <t>16 มิถุนายน  2560</t>
  </si>
  <si>
    <t xml:space="preserve">ร้านธนานันต์ คอมพิวเตอร์ </t>
  </si>
  <si>
    <t>20114448</t>
  </si>
  <si>
    <t>21 มิถุนายน  2560</t>
  </si>
  <si>
    <t>สหกรณ์โคนม ปากช่อง จำกัด</t>
  </si>
  <si>
    <t>20114464</t>
  </si>
  <si>
    <t>30 มิถุนายน  2560</t>
  </si>
  <si>
    <t xml:space="preserve">หจก.กุลตังพัฒนาก่อสร้าง </t>
  </si>
  <si>
    <t>เงินคงคลัง</t>
  </si>
  <si>
    <t>ณ  30 มิถุนายน 2560</t>
  </si>
  <si>
    <t>ปรับปรุงบัญชี</t>
  </si>
  <si>
    <t>ยอดคงเหลือตามบัญชี  ณ  วันที่   30  มิถุนายน  2560</t>
  </si>
  <si>
    <t xml:space="preserve">    (ลงชื่อ)…………………...…………………                  (ลงชื่อ)……….....…………..……………         (ลงชื่อ)……………....…………………</t>
  </si>
  <si>
    <t xml:space="preserve">           (นางสาวสุภาภรณ์  บุญเกษมสิน)                  (นายปิยะพงษ์  ตรีศักดิ์)                   (นายสุนทรพงษ์  มณีสุคนธ์)</t>
  </si>
  <si>
    <t xml:space="preserve">                        ผอ.กองคลัง                         ปลัดองค์การบริหารส่วนตำบล                 นายก อบต.ดอนยาวใหญ่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</si>
</sst>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"/>
    <numFmt numFmtId="188" formatCode="0000"/>
    <numFmt numFmtId="189" formatCode="000"/>
    <numFmt numFmtId="190" formatCode="#,##0.00;[Red]#,##0.00"/>
    <numFmt numFmtId="191" formatCode="\(0.00\)"/>
    <numFmt numFmtId="192" formatCode="_-* #,##0.00_-;\(\-* #,##0.00\)_-;_-* &quot;-&quot;??_-;_-@_-"/>
    <numFmt numFmtId="193" formatCode="_-* #,##0.00_-;\(* #,##0.00\)_-;_-* &quot;-&quot;??_-;_-@_-"/>
    <numFmt numFmtId="194" formatCode="_-* #,##0.00_-;\(#,##0.00\)_-;_-* &quot;-&quot;??_-;_-@_-"/>
    <numFmt numFmtId="195" formatCode="_-* #,##0.000_-;\(#,##0.000\)_-;_-* &quot;-&quot;??_-;_-@_-"/>
    <numFmt numFmtId="196" formatCode="_-* #,##0.000_-;\-* #,##0.000_-;_-* &quot;-&quot;??_-;_-@_-"/>
  </numFmts>
  <fonts count="71">
    <font>
      <sz val="16"/>
      <name val="AngsanaUPC"/>
      <family val="0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name val="AngsanaUPC"/>
      <family val="1"/>
    </font>
    <font>
      <b/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60"/>
      <name val="TH SarabunPSK"/>
      <family val="2"/>
    </font>
    <font>
      <b/>
      <u val="single"/>
      <sz val="16"/>
      <color indexed="60"/>
      <name val="TH SarabunPSK"/>
      <family val="2"/>
    </font>
    <font>
      <sz val="16"/>
      <color indexed="6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3"/>
      <color indexed="40"/>
      <name val="TH SarabunPSK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u val="single"/>
      <sz val="16"/>
      <color rgb="FFC00000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b/>
      <u val="single"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3"/>
      <color rgb="FF00B0F0"/>
      <name val="TH SarabunPSK"/>
      <family val="2"/>
    </font>
    <font>
      <sz val="13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0" xfId="36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1" xfId="36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36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43" fontId="3" fillId="0" borderId="13" xfId="36" applyFont="1" applyBorder="1" applyAlignment="1">
      <alignment/>
    </xf>
    <xf numFmtId="43" fontId="3" fillId="0" borderId="16" xfId="36" applyFont="1" applyBorder="1" applyAlignment="1">
      <alignment/>
    </xf>
    <xf numFmtId="43" fontId="3" fillId="0" borderId="10" xfId="36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3" fillId="0" borderId="18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188" fontId="3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7" fillId="0" borderId="0" xfId="36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8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94" fontId="7" fillId="0" borderId="0" xfId="36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3" fontId="3" fillId="0" borderId="0" xfId="36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43" fontId="60" fillId="0" borderId="0" xfId="36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3" fontId="60" fillId="0" borderId="0" xfId="36" applyFont="1" applyAlignment="1">
      <alignment/>
    </xf>
    <xf numFmtId="16" fontId="3" fillId="0" borderId="0" xfId="0" applyNumberFormat="1" applyFont="1" applyAlignment="1">
      <alignment/>
    </xf>
    <xf numFmtId="43" fontId="3" fillId="0" borderId="11" xfId="36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43" fontId="63" fillId="0" borderId="0" xfId="36" applyFont="1" applyBorder="1" applyAlignment="1">
      <alignment/>
    </xf>
    <xf numFmtId="43" fontId="63" fillId="0" borderId="10" xfId="36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2" fillId="0" borderId="20" xfId="36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/>
    </xf>
    <xf numFmtId="43" fontId="64" fillId="0" borderId="0" xfId="36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43" fontId="64" fillId="0" borderId="11" xfId="36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43" fontId="65" fillId="0" borderId="0" xfId="36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60" fillId="0" borderId="14" xfId="0" applyNumberFormat="1" applyFont="1" applyBorder="1" applyAlignment="1">
      <alignment horizontal="center"/>
    </xf>
    <xf numFmtId="0" fontId="60" fillId="0" borderId="14" xfId="0" applyFont="1" applyBorder="1" applyAlignment="1">
      <alignment/>
    </xf>
    <xf numFmtId="43" fontId="60" fillId="0" borderId="14" xfId="36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6" xfId="0" applyFont="1" applyBorder="1" applyAlignment="1">
      <alignment/>
    </xf>
    <xf numFmtId="43" fontId="60" fillId="0" borderId="13" xfId="36" applyFont="1" applyBorder="1" applyAlignment="1">
      <alignment/>
    </xf>
    <xf numFmtId="43" fontId="60" fillId="0" borderId="16" xfId="36" applyFont="1" applyBorder="1" applyAlignment="1">
      <alignment/>
    </xf>
    <xf numFmtId="43" fontId="60" fillId="0" borderId="10" xfId="36" applyFont="1" applyBorder="1" applyAlignment="1">
      <alignment/>
    </xf>
    <xf numFmtId="0" fontId="65" fillId="0" borderId="20" xfId="0" applyFont="1" applyBorder="1" applyAlignment="1">
      <alignment horizontal="center"/>
    </xf>
    <xf numFmtId="43" fontId="65" fillId="0" borderId="20" xfId="36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/>
    </xf>
    <xf numFmtId="43" fontId="66" fillId="0" borderId="14" xfId="36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/>
    </xf>
    <xf numFmtId="43" fontId="67" fillId="0" borderId="0" xfId="36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43" fontId="67" fillId="0" borderId="11" xfId="36" applyFont="1" applyBorder="1" applyAlignment="1">
      <alignment/>
    </xf>
    <xf numFmtId="0" fontId="67" fillId="0" borderId="13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43" fontId="68" fillId="0" borderId="0" xfId="36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49" fontId="66" fillId="0" borderId="14" xfId="0" applyNumberFormat="1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Border="1" applyAlignment="1">
      <alignment/>
    </xf>
    <xf numFmtId="43" fontId="66" fillId="0" borderId="0" xfId="36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4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/>
    </xf>
    <xf numFmtId="43" fontId="66" fillId="0" borderId="13" xfId="36" applyFont="1" applyBorder="1" applyAlignment="1">
      <alignment/>
    </xf>
    <xf numFmtId="43" fontId="66" fillId="0" borderId="16" xfId="36" applyFont="1" applyBorder="1" applyAlignment="1">
      <alignment/>
    </xf>
    <xf numFmtId="43" fontId="66" fillId="0" borderId="10" xfId="36" applyFont="1" applyBorder="1" applyAlignment="1">
      <alignment/>
    </xf>
    <xf numFmtId="0" fontId="68" fillId="0" borderId="20" xfId="0" applyFont="1" applyBorder="1" applyAlignment="1">
      <alignment horizontal="center"/>
    </xf>
    <xf numFmtId="43" fontId="68" fillId="0" borderId="20" xfId="36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14" xfId="36" applyFont="1" applyBorder="1" applyAlignment="1">
      <alignment horizontal="right"/>
    </xf>
    <xf numFmtId="15" fontId="3" fillId="0" borderId="14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3" fontId="0" fillId="0" borderId="0" xfId="36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23" xfId="0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87" fontId="12" fillId="0" borderId="17" xfId="0" applyNumberFormat="1" applyFont="1" applyBorder="1" applyAlignment="1">
      <alignment horizontal="center"/>
    </xf>
    <xf numFmtId="189" fontId="12" fillId="0" borderId="17" xfId="0" applyNumberFormat="1" applyFont="1" applyBorder="1" applyAlignment="1">
      <alignment horizontal="center"/>
    </xf>
    <xf numFmtId="43" fontId="12" fillId="0" borderId="17" xfId="36" applyFont="1" applyBorder="1" applyAlignment="1">
      <alignment/>
    </xf>
    <xf numFmtId="0" fontId="12" fillId="0" borderId="17" xfId="0" applyFont="1" applyBorder="1" applyAlignment="1">
      <alignment horizontal="center"/>
    </xf>
    <xf numFmtId="43" fontId="69" fillId="0" borderId="17" xfId="36" applyFont="1" applyBorder="1" applyAlignment="1">
      <alignment/>
    </xf>
    <xf numFmtId="43" fontId="70" fillId="0" borderId="17" xfId="36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36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43" fontId="12" fillId="0" borderId="16" xfId="36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23" xfId="36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15" fillId="0" borderId="0" xfId="0" applyFont="1" applyAlignment="1">
      <alignment/>
    </xf>
    <xf numFmtId="43" fontId="15" fillId="0" borderId="0" xfId="36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3" fontId="3" fillId="0" borderId="19" xfId="36" applyFont="1" applyBorder="1" applyAlignment="1">
      <alignment/>
    </xf>
    <xf numFmtId="0" fontId="5" fillId="0" borderId="19" xfId="0" applyFont="1" applyBorder="1" applyAlignment="1">
      <alignment/>
    </xf>
    <xf numFmtId="43" fontId="3" fillId="0" borderId="18" xfId="36" applyFont="1" applyBorder="1" applyAlignment="1">
      <alignment/>
    </xf>
    <xf numFmtId="189" fontId="3" fillId="0" borderId="19" xfId="0" applyNumberFormat="1" applyFont="1" applyBorder="1" applyAlignment="1">
      <alignment horizontal="center"/>
    </xf>
    <xf numFmtId="43" fontId="3" fillId="0" borderId="19" xfId="36" applyFont="1" applyBorder="1" applyAlignment="1">
      <alignment horizontal="right"/>
    </xf>
    <xf numFmtId="43" fontId="3" fillId="0" borderId="23" xfId="36" applyFont="1" applyBorder="1" applyAlignment="1">
      <alignment/>
    </xf>
    <xf numFmtId="43" fontId="3" fillId="0" borderId="17" xfId="36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43" fontId="3" fillId="0" borderId="27" xfId="36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194" fontId="3" fillId="0" borderId="19" xfId="36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43" fontId="1" fillId="0" borderId="29" xfId="36" applyFont="1" applyBorder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43" fontId="1" fillId="0" borderId="17" xfId="36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189" fontId="3" fillId="0" borderId="19" xfId="0" applyNumberFormat="1" applyFont="1" applyBorder="1" applyAlignment="1">
      <alignment horizontal="center" vertical="center"/>
    </xf>
    <xf numFmtId="43" fontId="3" fillId="0" borderId="19" xfId="36" applyFont="1" applyBorder="1" applyAlignment="1">
      <alignment vertical="center"/>
    </xf>
    <xf numFmtId="43" fontId="3" fillId="0" borderId="0" xfId="36" applyFont="1" applyBorder="1" applyAlignment="1">
      <alignment vertical="center"/>
    </xf>
    <xf numFmtId="43" fontId="3" fillId="0" borderId="19" xfId="36" applyFont="1" applyBorder="1" applyAlignment="1">
      <alignment horizontal="center" vertic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189" fontId="3" fillId="0" borderId="24" xfId="0" applyNumberFormat="1" applyFont="1" applyBorder="1" applyAlignment="1">
      <alignment horizontal="center" vertical="center"/>
    </xf>
    <xf numFmtId="43" fontId="3" fillId="0" borderId="18" xfId="3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9" fontId="3" fillId="0" borderId="0" xfId="0" applyNumberFormat="1" applyFont="1" applyBorder="1" applyAlignment="1">
      <alignment horizontal="center" vertical="center"/>
    </xf>
    <xf numFmtId="43" fontId="3" fillId="0" borderId="17" xfId="36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3" fontId="3" fillId="0" borderId="20" xfId="36" applyFont="1" applyBorder="1" applyAlignment="1">
      <alignment/>
    </xf>
    <xf numFmtId="4" fontId="3" fillId="0" borderId="0" xfId="0" applyNumberFormat="1" applyFont="1" applyBorder="1" applyAlignment="1">
      <alignment/>
    </xf>
    <xf numFmtId="43" fontId="1" fillId="0" borderId="14" xfId="36" applyFont="1" applyBorder="1" applyAlignment="1">
      <alignment horizontal="right"/>
    </xf>
    <xf numFmtId="43" fontId="1" fillId="0" borderId="14" xfId="36" applyFont="1" applyBorder="1" applyAlignment="1">
      <alignment/>
    </xf>
    <xf numFmtId="43" fontId="3" fillId="0" borderId="0" xfId="36" applyFont="1" applyBorder="1" applyAlignment="1">
      <alignment horizontal="center"/>
    </xf>
    <xf numFmtId="0" fontId="1" fillId="0" borderId="30" xfId="0" applyFont="1" applyBorder="1" applyAlignment="1">
      <alignment/>
    </xf>
    <xf numFmtId="0" fontId="3" fillId="0" borderId="30" xfId="0" applyFont="1" applyBorder="1" applyAlignment="1">
      <alignment/>
    </xf>
    <xf numFmtId="43" fontId="67" fillId="0" borderId="0" xfId="36" applyFont="1" applyBorder="1" applyAlignment="1">
      <alignment horizontal="center"/>
    </xf>
    <xf numFmtId="43" fontId="69" fillId="0" borderId="25" xfId="36" applyFont="1" applyBorder="1" applyAlignment="1">
      <alignment/>
    </xf>
    <xf numFmtId="43" fontId="70" fillId="0" borderId="2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67" fillId="0" borderId="30" xfId="0" applyFont="1" applyBorder="1" applyAlignment="1">
      <alignment horizontal="left"/>
    </xf>
    <xf numFmtId="187" fontId="12" fillId="0" borderId="17" xfId="0" applyNumberFormat="1" applyFont="1" applyBorder="1" applyAlignment="1">
      <alignment horizontal="center" vertical="center"/>
    </xf>
    <xf numFmtId="187" fontId="12" fillId="0" borderId="23" xfId="0" applyNumberFormat="1" applyFont="1" applyBorder="1" applyAlignment="1">
      <alignment horizontal="center" vertical="center"/>
    </xf>
    <xf numFmtId="187" fontId="12" fillId="0" borderId="24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24" xfId="0" applyFont="1" applyBorder="1" applyAlignment="1">
      <alignment/>
    </xf>
    <xf numFmtId="188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76</xdr:row>
      <xdr:rowOff>0</xdr:rowOff>
    </xdr:from>
    <xdr:to>
      <xdr:col>4</xdr:col>
      <xdr:colOff>933450</xdr:colOff>
      <xdr:row>95</xdr:row>
      <xdr:rowOff>9525</xdr:rowOff>
    </xdr:to>
    <xdr:sp>
      <xdr:nvSpPr>
        <xdr:cNvPr id="1" name="Line 10"/>
        <xdr:cNvSpPr>
          <a:spLocks/>
        </xdr:cNvSpPr>
      </xdr:nvSpPr>
      <xdr:spPr>
        <a:xfrm>
          <a:off x="6219825" y="234791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933450</xdr:colOff>
      <xdr:row>111</xdr:row>
      <xdr:rowOff>0</xdr:rowOff>
    </xdr:from>
    <xdr:to>
      <xdr:col>4</xdr:col>
      <xdr:colOff>933450</xdr:colOff>
      <xdr:row>123</xdr:row>
      <xdr:rowOff>9525</xdr:rowOff>
    </xdr:to>
    <xdr:sp>
      <xdr:nvSpPr>
        <xdr:cNvPr id="2" name="Line 10"/>
        <xdr:cNvSpPr>
          <a:spLocks/>
        </xdr:cNvSpPr>
      </xdr:nvSpPr>
      <xdr:spPr>
        <a:xfrm>
          <a:off x="6219825" y="34423350"/>
          <a:ext cx="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69</xdr:row>
      <xdr:rowOff>276225</xdr:rowOff>
    </xdr:from>
    <xdr:to>
      <xdr:col>0</xdr:col>
      <xdr:colOff>1371600</xdr:colOff>
      <xdr:row>69</xdr:row>
      <xdr:rowOff>276225</xdr:rowOff>
    </xdr:to>
    <xdr:sp>
      <xdr:nvSpPr>
        <xdr:cNvPr id="1" name="Line 3"/>
        <xdr:cNvSpPr>
          <a:spLocks/>
        </xdr:cNvSpPr>
      </xdr:nvSpPr>
      <xdr:spPr>
        <a:xfrm>
          <a:off x="361950" y="212979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212</xdr:row>
      <xdr:rowOff>276225</xdr:rowOff>
    </xdr:from>
    <xdr:to>
      <xdr:col>0</xdr:col>
      <xdr:colOff>1371600</xdr:colOff>
      <xdr:row>212</xdr:row>
      <xdr:rowOff>276225</xdr:rowOff>
    </xdr:to>
    <xdr:sp>
      <xdr:nvSpPr>
        <xdr:cNvPr id="2" name="Line 1"/>
        <xdr:cNvSpPr>
          <a:spLocks/>
        </xdr:cNvSpPr>
      </xdr:nvSpPr>
      <xdr:spPr>
        <a:xfrm>
          <a:off x="361950" y="648462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212</xdr:row>
      <xdr:rowOff>295275</xdr:rowOff>
    </xdr:from>
    <xdr:to>
      <xdr:col>5</xdr:col>
      <xdr:colOff>95250</xdr:colOff>
      <xdr:row>212</xdr:row>
      <xdr:rowOff>295275</xdr:rowOff>
    </xdr:to>
    <xdr:sp>
      <xdr:nvSpPr>
        <xdr:cNvPr id="3" name="Line 2"/>
        <xdr:cNvSpPr>
          <a:spLocks/>
        </xdr:cNvSpPr>
      </xdr:nvSpPr>
      <xdr:spPr>
        <a:xfrm>
          <a:off x="3629025" y="64865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248</xdr:row>
      <xdr:rowOff>276225</xdr:rowOff>
    </xdr:from>
    <xdr:to>
      <xdr:col>0</xdr:col>
      <xdr:colOff>1371600</xdr:colOff>
      <xdr:row>248</xdr:row>
      <xdr:rowOff>276225</xdr:rowOff>
    </xdr:to>
    <xdr:sp>
      <xdr:nvSpPr>
        <xdr:cNvPr id="4" name="Line 1"/>
        <xdr:cNvSpPr>
          <a:spLocks/>
        </xdr:cNvSpPr>
      </xdr:nvSpPr>
      <xdr:spPr>
        <a:xfrm>
          <a:off x="361950" y="758190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248</xdr:row>
      <xdr:rowOff>295275</xdr:rowOff>
    </xdr:from>
    <xdr:to>
      <xdr:col>5</xdr:col>
      <xdr:colOff>95250</xdr:colOff>
      <xdr:row>248</xdr:row>
      <xdr:rowOff>295275</xdr:rowOff>
    </xdr:to>
    <xdr:sp>
      <xdr:nvSpPr>
        <xdr:cNvPr id="5" name="Line 2"/>
        <xdr:cNvSpPr>
          <a:spLocks/>
        </xdr:cNvSpPr>
      </xdr:nvSpPr>
      <xdr:spPr>
        <a:xfrm>
          <a:off x="3629025" y="75838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283</xdr:row>
      <xdr:rowOff>276225</xdr:rowOff>
    </xdr:from>
    <xdr:to>
      <xdr:col>0</xdr:col>
      <xdr:colOff>1371600</xdr:colOff>
      <xdr:row>283</xdr:row>
      <xdr:rowOff>276225</xdr:rowOff>
    </xdr:to>
    <xdr:sp>
      <xdr:nvSpPr>
        <xdr:cNvPr id="6" name="Line 1"/>
        <xdr:cNvSpPr>
          <a:spLocks/>
        </xdr:cNvSpPr>
      </xdr:nvSpPr>
      <xdr:spPr>
        <a:xfrm>
          <a:off x="361950" y="864870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283</xdr:row>
      <xdr:rowOff>295275</xdr:rowOff>
    </xdr:from>
    <xdr:to>
      <xdr:col>5</xdr:col>
      <xdr:colOff>95250</xdr:colOff>
      <xdr:row>283</xdr:row>
      <xdr:rowOff>295275</xdr:rowOff>
    </xdr:to>
    <xdr:sp>
      <xdr:nvSpPr>
        <xdr:cNvPr id="7" name="Line 2"/>
        <xdr:cNvSpPr>
          <a:spLocks/>
        </xdr:cNvSpPr>
      </xdr:nvSpPr>
      <xdr:spPr>
        <a:xfrm>
          <a:off x="3629025" y="86506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319</xdr:row>
      <xdr:rowOff>276225</xdr:rowOff>
    </xdr:from>
    <xdr:to>
      <xdr:col>0</xdr:col>
      <xdr:colOff>1371600</xdr:colOff>
      <xdr:row>319</xdr:row>
      <xdr:rowOff>276225</xdr:rowOff>
    </xdr:to>
    <xdr:sp>
      <xdr:nvSpPr>
        <xdr:cNvPr id="8" name="Line 1"/>
        <xdr:cNvSpPr>
          <a:spLocks/>
        </xdr:cNvSpPr>
      </xdr:nvSpPr>
      <xdr:spPr>
        <a:xfrm>
          <a:off x="361950" y="974598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319</xdr:row>
      <xdr:rowOff>295275</xdr:rowOff>
    </xdr:from>
    <xdr:to>
      <xdr:col>5</xdr:col>
      <xdr:colOff>95250</xdr:colOff>
      <xdr:row>319</xdr:row>
      <xdr:rowOff>295275</xdr:rowOff>
    </xdr:to>
    <xdr:sp>
      <xdr:nvSpPr>
        <xdr:cNvPr id="9" name="Line 2"/>
        <xdr:cNvSpPr>
          <a:spLocks/>
        </xdr:cNvSpPr>
      </xdr:nvSpPr>
      <xdr:spPr>
        <a:xfrm>
          <a:off x="3629025" y="97478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355</xdr:row>
      <xdr:rowOff>276225</xdr:rowOff>
    </xdr:from>
    <xdr:to>
      <xdr:col>0</xdr:col>
      <xdr:colOff>1371600</xdr:colOff>
      <xdr:row>355</xdr:row>
      <xdr:rowOff>276225</xdr:rowOff>
    </xdr:to>
    <xdr:sp>
      <xdr:nvSpPr>
        <xdr:cNvPr id="10" name="Line 1"/>
        <xdr:cNvSpPr>
          <a:spLocks/>
        </xdr:cNvSpPr>
      </xdr:nvSpPr>
      <xdr:spPr>
        <a:xfrm>
          <a:off x="361950" y="1084326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355</xdr:row>
      <xdr:rowOff>295275</xdr:rowOff>
    </xdr:from>
    <xdr:to>
      <xdr:col>5</xdr:col>
      <xdr:colOff>95250</xdr:colOff>
      <xdr:row>355</xdr:row>
      <xdr:rowOff>295275</xdr:rowOff>
    </xdr:to>
    <xdr:sp>
      <xdr:nvSpPr>
        <xdr:cNvPr id="11" name="Line 2"/>
        <xdr:cNvSpPr>
          <a:spLocks/>
        </xdr:cNvSpPr>
      </xdr:nvSpPr>
      <xdr:spPr>
        <a:xfrm>
          <a:off x="3629025" y="10845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355</xdr:row>
      <xdr:rowOff>276225</xdr:rowOff>
    </xdr:from>
    <xdr:to>
      <xdr:col>0</xdr:col>
      <xdr:colOff>1371600</xdr:colOff>
      <xdr:row>355</xdr:row>
      <xdr:rowOff>276225</xdr:rowOff>
    </xdr:to>
    <xdr:sp>
      <xdr:nvSpPr>
        <xdr:cNvPr id="12" name="Line 1"/>
        <xdr:cNvSpPr>
          <a:spLocks/>
        </xdr:cNvSpPr>
      </xdr:nvSpPr>
      <xdr:spPr>
        <a:xfrm>
          <a:off x="361950" y="1084326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355</xdr:row>
      <xdr:rowOff>295275</xdr:rowOff>
    </xdr:from>
    <xdr:to>
      <xdr:col>5</xdr:col>
      <xdr:colOff>95250</xdr:colOff>
      <xdr:row>355</xdr:row>
      <xdr:rowOff>295275</xdr:rowOff>
    </xdr:to>
    <xdr:sp>
      <xdr:nvSpPr>
        <xdr:cNvPr id="13" name="Line 2"/>
        <xdr:cNvSpPr>
          <a:spLocks/>
        </xdr:cNvSpPr>
      </xdr:nvSpPr>
      <xdr:spPr>
        <a:xfrm>
          <a:off x="3629025" y="10845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866775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066800"/>
          <a:ext cx="866775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154</xdr:row>
      <xdr:rowOff>200025</xdr:rowOff>
    </xdr:from>
    <xdr:to>
      <xdr:col>0</xdr:col>
      <xdr:colOff>876300</xdr:colOff>
      <xdr:row>157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38985825"/>
          <a:ext cx="876300" cy="885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28575</xdr:rowOff>
    </xdr:from>
    <xdr:to>
      <xdr:col>1</xdr:col>
      <xdr:colOff>0</xdr:colOff>
      <xdr:row>40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0" y="9601200"/>
          <a:ext cx="885825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19050</xdr:colOff>
      <xdr:row>105</xdr:row>
      <xdr:rowOff>85725</xdr:rowOff>
    </xdr:from>
    <xdr:to>
      <xdr:col>1</xdr:col>
      <xdr:colOff>9525</xdr:colOff>
      <xdr:row>108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25365075"/>
          <a:ext cx="876300" cy="790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30</xdr:row>
      <xdr:rowOff>276225</xdr:rowOff>
    </xdr:from>
    <xdr:to>
      <xdr:col>0</xdr:col>
      <xdr:colOff>1476375</xdr:colOff>
      <xdr:row>30</xdr:row>
      <xdr:rowOff>276225</xdr:rowOff>
    </xdr:to>
    <xdr:sp>
      <xdr:nvSpPr>
        <xdr:cNvPr id="1" name="Line 1"/>
        <xdr:cNvSpPr>
          <a:spLocks/>
        </xdr:cNvSpPr>
      </xdr:nvSpPr>
      <xdr:spPr>
        <a:xfrm>
          <a:off x="361950" y="94202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30</xdr:row>
      <xdr:rowOff>295275</xdr:rowOff>
    </xdr:from>
    <xdr:to>
      <xdr:col>5</xdr:col>
      <xdr:colOff>95250</xdr:colOff>
      <xdr:row>30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3590925" y="9439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66</xdr:row>
      <xdr:rowOff>276225</xdr:rowOff>
    </xdr:from>
    <xdr:to>
      <xdr:col>0</xdr:col>
      <xdr:colOff>1476375</xdr:colOff>
      <xdr:row>66</xdr:row>
      <xdr:rowOff>276225</xdr:rowOff>
    </xdr:to>
    <xdr:sp>
      <xdr:nvSpPr>
        <xdr:cNvPr id="3" name="Line 3"/>
        <xdr:cNvSpPr>
          <a:spLocks/>
        </xdr:cNvSpPr>
      </xdr:nvSpPr>
      <xdr:spPr>
        <a:xfrm>
          <a:off x="361950" y="203644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619125</xdr:colOff>
      <xdr:row>66</xdr:row>
      <xdr:rowOff>295275</xdr:rowOff>
    </xdr:from>
    <xdr:to>
      <xdr:col>6</xdr:col>
      <xdr:colOff>238125</xdr:colOff>
      <xdr:row>66</xdr:row>
      <xdr:rowOff>295275</xdr:rowOff>
    </xdr:to>
    <xdr:sp>
      <xdr:nvSpPr>
        <xdr:cNvPr id="4" name="Line 4"/>
        <xdr:cNvSpPr>
          <a:spLocks/>
        </xdr:cNvSpPr>
      </xdr:nvSpPr>
      <xdr:spPr>
        <a:xfrm>
          <a:off x="3838575" y="20383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102</xdr:row>
      <xdr:rowOff>276225</xdr:rowOff>
    </xdr:from>
    <xdr:to>
      <xdr:col>0</xdr:col>
      <xdr:colOff>1476375</xdr:colOff>
      <xdr:row>102</xdr:row>
      <xdr:rowOff>276225</xdr:rowOff>
    </xdr:to>
    <xdr:sp>
      <xdr:nvSpPr>
        <xdr:cNvPr id="5" name="Line 1"/>
        <xdr:cNvSpPr>
          <a:spLocks/>
        </xdr:cNvSpPr>
      </xdr:nvSpPr>
      <xdr:spPr>
        <a:xfrm>
          <a:off x="361950" y="313372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102</xdr:row>
      <xdr:rowOff>295275</xdr:rowOff>
    </xdr:from>
    <xdr:to>
      <xdr:col>5</xdr:col>
      <xdr:colOff>95250</xdr:colOff>
      <xdr:row>102</xdr:row>
      <xdr:rowOff>295275</xdr:rowOff>
    </xdr:to>
    <xdr:sp>
      <xdr:nvSpPr>
        <xdr:cNvPr id="6" name="Line 2"/>
        <xdr:cNvSpPr>
          <a:spLocks/>
        </xdr:cNvSpPr>
      </xdr:nvSpPr>
      <xdr:spPr>
        <a:xfrm>
          <a:off x="3590925" y="313563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138</xdr:row>
      <xdr:rowOff>276225</xdr:rowOff>
    </xdr:from>
    <xdr:to>
      <xdr:col>0</xdr:col>
      <xdr:colOff>1476375</xdr:colOff>
      <xdr:row>138</xdr:row>
      <xdr:rowOff>276225</xdr:rowOff>
    </xdr:to>
    <xdr:sp>
      <xdr:nvSpPr>
        <xdr:cNvPr id="7" name="Line 1"/>
        <xdr:cNvSpPr>
          <a:spLocks/>
        </xdr:cNvSpPr>
      </xdr:nvSpPr>
      <xdr:spPr>
        <a:xfrm>
          <a:off x="361950" y="422814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609600</xdr:colOff>
      <xdr:row>138</xdr:row>
      <xdr:rowOff>276225</xdr:rowOff>
    </xdr:from>
    <xdr:to>
      <xdr:col>6</xdr:col>
      <xdr:colOff>228600</xdr:colOff>
      <xdr:row>138</xdr:row>
      <xdr:rowOff>276225</xdr:rowOff>
    </xdr:to>
    <xdr:sp>
      <xdr:nvSpPr>
        <xdr:cNvPr id="8" name="Line 2"/>
        <xdr:cNvSpPr>
          <a:spLocks/>
        </xdr:cNvSpPr>
      </xdr:nvSpPr>
      <xdr:spPr>
        <a:xfrm>
          <a:off x="3829050" y="422814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174</xdr:row>
      <xdr:rowOff>276225</xdr:rowOff>
    </xdr:from>
    <xdr:to>
      <xdr:col>0</xdr:col>
      <xdr:colOff>1476375</xdr:colOff>
      <xdr:row>174</xdr:row>
      <xdr:rowOff>276225</xdr:rowOff>
    </xdr:to>
    <xdr:sp>
      <xdr:nvSpPr>
        <xdr:cNvPr id="9" name="Line 1"/>
        <xdr:cNvSpPr>
          <a:spLocks/>
        </xdr:cNvSpPr>
      </xdr:nvSpPr>
      <xdr:spPr>
        <a:xfrm>
          <a:off x="361950" y="532257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174</xdr:row>
      <xdr:rowOff>295275</xdr:rowOff>
    </xdr:from>
    <xdr:to>
      <xdr:col>5</xdr:col>
      <xdr:colOff>95250</xdr:colOff>
      <xdr:row>174</xdr:row>
      <xdr:rowOff>295275</xdr:rowOff>
    </xdr:to>
    <xdr:sp>
      <xdr:nvSpPr>
        <xdr:cNvPr id="10" name="Line 2"/>
        <xdr:cNvSpPr>
          <a:spLocks/>
        </xdr:cNvSpPr>
      </xdr:nvSpPr>
      <xdr:spPr>
        <a:xfrm>
          <a:off x="3590925" y="53244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210</xdr:row>
      <xdr:rowOff>276225</xdr:rowOff>
    </xdr:from>
    <xdr:to>
      <xdr:col>0</xdr:col>
      <xdr:colOff>1476375</xdr:colOff>
      <xdr:row>210</xdr:row>
      <xdr:rowOff>276225</xdr:rowOff>
    </xdr:to>
    <xdr:sp>
      <xdr:nvSpPr>
        <xdr:cNvPr id="11" name="Line 1"/>
        <xdr:cNvSpPr>
          <a:spLocks/>
        </xdr:cNvSpPr>
      </xdr:nvSpPr>
      <xdr:spPr>
        <a:xfrm>
          <a:off x="361950" y="641985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210</xdr:row>
      <xdr:rowOff>295275</xdr:rowOff>
    </xdr:from>
    <xdr:to>
      <xdr:col>5</xdr:col>
      <xdr:colOff>95250</xdr:colOff>
      <xdr:row>210</xdr:row>
      <xdr:rowOff>295275</xdr:rowOff>
    </xdr:to>
    <xdr:sp>
      <xdr:nvSpPr>
        <xdr:cNvPr id="12" name="Line 2"/>
        <xdr:cNvSpPr>
          <a:spLocks/>
        </xdr:cNvSpPr>
      </xdr:nvSpPr>
      <xdr:spPr>
        <a:xfrm>
          <a:off x="3590925" y="642175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246</xdr:row>
      <xdr:rowOff>276225</xdr:rowOff>
    </xdr:from>
    <xdr:to>
      <xdr:col>0</xdr:col>
      <xdr:colOff>1476375</xdr:colOff>
      <xdr:row>246</xdr:row>
      <xdr:rowOff>276225</xdr:rowOff>
    </xdr:to>
    <xdr:sp>
      <xdr:nvSpPr>
        <xdr:cNvPr id="13" name="Line 1"/>
        <xdr:cNvSpPr>
          <a:spLocks/>
        </xdr:cNvSpPr>
      </xdr:nvSpPr>
      <xdr:spPr>
        <a:xfrm>
          <a:off x="361950" y="75171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246</xdr:row>
      <xdr:rowOff>295275</xdr:rowOff>
    </xdr:from>
    <xdr:to>
      <xdr:col>5</xdr:col>
      <xdr:colOff>95250</xdr:colOff>
      <xdr:row>246</xdr:row>
      <xdr:rowOff>295275</xdr:rowOff>
    </xdr:to>
    <xdr:sp>
      <xdr:nvSpPr>
        <xdr:cNvPr id="14" name="Line 2"/>
        <xdr:cNvSpPr>
          <a:spLocks/>
        </xdr:cNvSpPr>
      </xdr:nvSpPr>
      <xdr:spPr>
        <a:xfrm>
          <a:off x="3590925" y="75190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281</xdr:row>
      <xdr:rowOff>276225</xdr:rowOff>
    </xdr:from>
    <xdr:to>
      <xdr:col>0</xdr:col>
      <xdr:colOff>1476375</xdr:colOff>
      <xdr:row>281</xdr:row>
      <xdr:rowOff>276225</xdr:rowOff>
    </xdr:to>
    <xdr:sp>
      <xdr:nvSpPr>
        <xdr:cNvPr id="15" name="Line 1"/>
        <xdr:cNvSpPr>
          <a:spLocks/>
        </xdr:cNvSpPr>
      </xdr:nvSpPr>
      <xdr:spPr>
        <a:xfrm>
          <a:off x="361950" y="85839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281</xdr:row>
      <xdr:rowOff>295275</xdr:rowOff>
    </xdr:from>
    <xdr:to>
      <xdr:col>5</xdr:col>
      <xdr:colOff>95250</xdr:colOff>
      <xdr:row>281</xdr:row>
      <xdr:rowOff>295275</xdr:rowOff>
    </xdr:to>
    <xdr:sp>
      <xdr:nvSpPr>
        <xdr:cNvPr id="16" name="Line 2"/>
        <xdr:cNvSpPr>
          <a:spLocks/>
        </xdr:cNvSpPr>
      </xdr:nvSpPr>
      <xdr:spPr>
        <a:xfrm>
          <a:off x="3590925" y="85858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317</xdr:row>
      <xdr:rowOff>276225</xdr:rowOff>
    </xdr:from>
    <xdr:to>
      <xdr:col>0</xdr:col>
      <xdr:colOff>1476375</xdr:colOff>
      <xdr:row>317</xdr:row>
      <xdr:rowOff>276225</xdr:rowOff>
    </xdr:to>
    <xdr:sp>
      <xdr:nvSpPr>
        <xdr:cNvPr id="17" name="Line 1"/>
        <xdr:cNvSpPr>
          <a:spLocks/>
        </xdr:cNvSpPr>
      </xdr:nvSpPr>
      <xdr:spPr>
        <a:xfrm>
          <a:off x="361950" y="968121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317</xdr:row>
      <xdr:rowOff>295275</xdr:rowOff>
    </xdr:from>
    <xdr:to>
      <xdr:col>5</xdr:col>
      <xdr:colOff>95250</xdr:colOff>
      <xdr:row>317</xdr:row>
      <xdr:rowOff>295275</xdr:rowOff>
    </xdr:to>
    <xdr:sp>
      <xdr:nvSpPr>
        <xdr:cNvPr id="18" name="Line 2"/>
        <xdr:cNvSpPr>
          <a:spLocks/>
        </xdr:cNvSpPr>
      </xdr:nvSpPr>
      <xdr:spPr>
        <a:xfrm>
          <a:off x="3590925" y="96831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353</xdr:row>
      <xdr:rowOff>276225</xdr:rowOff>
    </xdr:from>
    <xdr:to>
      <xdr:col>0</xdr:col>
      <xdr:colOff>1476375</xdr:colOff>
      <xdr:row>353</xdr:row>
      <xdr:rowOff>276225</xdr:rowOff>
    </xdr:to>
    <xdr:sp>
      <xdr:nvSpPr>
        <xdr:cNvPr id="19" name="Line 1"/>
        <xdr:cNvSpPr>
          <a:spLocks/>
        </xdr:cNvSpPr>
      </xdr:nvSpPr>
      <xdr:spPr>
        <a:xfrm>
          <a:off x="361950" y="1077849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353</xdr:row>
      <xdr:rowOff>295275</xdr:rowOff>
    </xdr:from>
    <xdr:to>
      <xdr:col>5</xdr:col>
      <xdr:colOff>95250</xdr:colOff>
      <xdr:row>353</xdr:row>
      <xdr:rowOff>295275</xdr:rowOff>
    </xdr:to>
    <xdr:sp>
      <xdr:nvSpPr>
        <xdr:cNvPr id="20" name="Line 2"/>
        <xdr:cNvSpPr>
          <a:spLocks/>
        </xdr:cNvSpPr>
      </xdr:nvSpPr>
      <xdr:spPr>
        <a:xfrm>
          <a:off x="3590925" y="107803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361950</xdr:colOff>
      <xdr:row>353</xdr:row>
      <xdr:rowOff>276225</xdr:rowOff>
    </xdr:from>
    <xdr:to>
      <xdr:col>0</xdr:col>
      <xdr:colOff>1476375</xdr:colOff>
      <xdr:row>353</xdr:row>
      <xdr:rowOff>276225</xdr:rowOff>
    </xdr:to>
    <xdr:sp>
      <xdr:nvSpPr>
        <xdr:cNvPr id="21" name="Line 1"/>
        <xdr:cNvSpPr>
          <a:spLocks/>
        </xdr:cNvSpPr>
      </xdr:nvSpPr>
      <xdr:spPr>
        <a:xfrm>
          <a:off x="361950" y="1077849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353</xdr:row>
      <xdr:rowOff>295275</xdr:rowOff>
    </xdr:from>
    <xdr:to>
      <xdr:col>5</xdr:col>
      <xdr:colOff>95250</xdr:colOff>
      <xdr:row>353</xdr:row>
      <xdr:rowOff>295275</xdr:rowOff>
    </xdr:to>
    <xdr:sp>
      <xdr:nvSpPr>
        <xdr:cNvPr id="22" name="Line 2"/>
        <xdr:cNvSpPr>
          <a:spLocks/>
        </xdr:cNvSpPr>
      </xdr:nvSpPr>
      <xdr:spPr>
        <a:xfrm>
          <a:off x="3590925" y="107803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22">
      <selection activeCell="G29" sqref="G29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19.14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306</v>
      </c>
    </row>
    <row r="4" ht="24">
      <c r="C4" s="39" t="s">
        <v>71</v>
      </c>
    </row>
    <row r="5" ht="24" customHeight="1" thickBot="1">
      <c r="E5" s="32" t="s">
        <v>325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29411499.85</v>
      </c>
      <c r="C9" s="41" t="s">
        <v>23</v>
      </c>
      <c r="D9" s="42"/>
      <c r="E9" s="171">
        <v>18593140.14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76500</v>
      </c>
      <c r="B11" s="171">
        <f>16863.58+30182.35+22425.79+4951+937.71+658.94+591.26+1387.98+163.56+679.62</f>
        <v>78841.79</v>
      </c>
      <c r="C11" s="41" t="s">
        <v>1</v>
      </c>
      <c r="D11" s="42">
        <f>G13</f>
        <v>0</v>
      </c>
      <c r="E11" s="171">
        <v>679.62</v>
      </c>
      <c r="F11" s="17"/>
    </row>
    <row r="12" spans="1:6" ht="24">
      <c r="A12" s="171">
        <v>86100</v>
      </c>
      <c r="B12" s="171">
        <f>5656+5740+5320+6947+9660+6979+5441+5515+5442+5464+6279+5722</f>
        <v>74165</v>
      </c>
      <c r="C12" s="41" t="s">
        <v>53</v>
      </c>
      <c r="D12" s="42">
        <v>120</v>
      </c>
      <c r="E12" s="171">
        <v>5722</v>
      </c>
      <c r="F12" s="17" t="s">
        <v>326</v>
      </c>
    </row>
    <row r="13" spans="1:6" ht="24">
      <c r="A13" s="171">
        <v>105000</v>
      </c>
      <c r="B13" s="171">
        <f>2500+5256.26+39779.07+14162.63+53434.45</f>
        <v>115132.41</v>
      </c>
      <c r="C13" s="41" t="s">
        <v>2</v>
      </c>
      <c r="D13" s="42">
        <v>200</v>
      </c>
      <c r="E13" s="171">
        <v>53434.45</v>
      </c>
      <c r="F13" s="17"/>
    </row>
    <row r="14" spans="1:6" ht="24">
      <c r="A14" s="171">
        <v>300000</v>
      </c>
      <c r="B14" s="171">
        <f>25042+28989+27814+36010+25079+31881+44106+30680+32851+25804+24774+26782</f>
        <v>359812</v>
      </c>
      <c r="C14" s="41" t="s">
        <v>3</v>
      </c>
      <c r="D14" s="42">
        <v>253</v>
      </c>
      <c r="E14" s="171">
        <v>26782</v>
      </c>
      <c r="F14" s="17"/>
    </row>
    <row r="15" spans="1:8" ht="24">
      <c r="A15" s="171">
        <v>22000</v>
      </c>
      <c r="B15" s="171">
        <f>470+940+1410+1140+1716+520</f>
        <v>6196</v>
      </c>
      <c r="C15" s="41" t="s">
        <v>4</v>
      </c>
      <c r="D15" s="42">
        <v>300</v>
      </c>
      <c r="E15" s="171">
        <v>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11910400</v>
      </c>
      <c r="B17" s="171">
        <f>307251.47+1756676.33+298996.64+372092.67+369662.35+372638.09+3477920.06+323724.54+400971.3+327175.76+363945.28+4899948.35</f>
        <v>13271002.84</v>
      </c>
      <c r="C17" s="41" t="s">
        <v>6</v>
      </c>
      <c r="D17" s="42">
        <v>1000</v>
      </c>
      <c r="E17" s="171">
        <v>4899948.35</v>
      </c>
      <c r="F17" s="17"/>
    </row>
    <row r="18" spans="1:8" ht="24">
      <c r="A18" s="171">
        <v>6000000</v>
      </c>
      <c r="B18" s="171">
        <f>18900+3313787+801000+2278059+328500+1404106+370900+1243200+813380+6400+40240</f>
        <v>10618472</v>
      </c>
      <c r="C18" s="41" t="s">
        <v>271</v>
      </c>
      <c r="D18" s="42">
        <v>2000</v>
      </c>
      <c r="E18" s="171">
        <v>40240</v>
      </c>
      <c r="F18" s="17"/>
      <c r="H18" s="25" t="s">
        <v>97</v>
      </c>
    </row>
    <row r="19" spans="1:6" ht="24.75" thickBot="1">
      <c r="A19" s="173">
        <f>SUM(A11:A18)</f>
        <v>18500000</v>
      </c>
      <c r="B19" s="173">
        <f>SUM(B11:B18)</f>
        <v>24523622.04</v>
      </c>
      <c r="C19" s="41"/>
      <c r="D19" s="42"/>
      <c r="E19" s="173">
        <f>SUM(E11:E18)</f>
        <v>5026806.42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f>4440000+668000</f>
        <v>5108000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39921.7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45570.1+17988.99+15175.21+173637.96+151673.03+8979.91+32879.15+71354.94+186747.63+77337.38+94256.03+919755.7</f>
        <v>1795356.0299999998</v>
      </c>
      <c r="C23" s="41" t="s">
        <v>7</v>
      </c>
      <c r="D23" s="174">
        <v>900</v>
      </c>
      <c r="E23" s="175">
        <v>919755.7</v>
      </c>
      <c r="F23" s="17"/>
      <c r="G23" s="101"/>
      <c r="H23" s="101"/>
    </row>
    <row r="24" spans="1:6" ht="24">
      <c r="A24" s="171"/>
      <c r="B24" s="171">
        <f>190525+38851.28+48124.62+36238.36+33408.56+29753.38+9977.2</f>
        <v>386878.4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900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1600</v>
      </c>
      <c r="C29" s="41" t="s">
        <v>313</v>
      </c>
      <c r="D29" s="42"/>
      <c r="E29" s="171">
        <v>0</v>
      </c>
      <c r="F29" s="17"/>
    </row>
    <row r="30" spans="1:6" ht="24">
      <c r="A30" s="176">
        <f>SUM(A21:A29)</f>
        <v>0</v>
      </c>
      <c r="B30" s="177">
        <f>SUM(B20:B29)</f>
        <v>7332656.130000001</v>
      </c>
      <c r="C30" s="41"/>
      <c r="D30" s="42"/>
      <c r="E30" s="177">
        <f>SUM(E20:E29)</f>
        <v>919755.7</v>
      </c>
      <c r="F30" s="17"/>
    </row>
    <row r="31" spans="1:6" ht="24">
      <c r="A31" s="177">
        <f>SUM(A30,A19)</f>
        <v>18500000</v>
      </c>
      <c r="B31" s="177">
        <f>SUM(B30,B19)</f>
        <v>31856278.17</v>
      </c>
      <c r="C31" s="243"/>
      <c r="D31" s="244"/>
      <c r="E31" s="177">
        <f>SUM(E30,E19)</f>
        <v>5946562.12</v>
      </c>
      <c r="F31" s="17"/>
    </row>
    <row r="32" spans="1:6" ht="24">
      <c r="A32" s="17"/>
      <c r="B32" s="17"/>
      <c r="C32" s="16"/>
      <c r="D32" s="49"/>
      <c r="E32" s="17"/>
      <c r="F32" s="17"/>
    </row>
    <row r="33" spans="1:6" s="16" customFormat="1" ht="10.5" customHeight="1">
      <c r="A33" s="17"/>
      <c r="B33" s="17"/>
      <c r="D33" s="49"/>
      <c r="E33" s="17"/>
      <c r="F33" s="17"/>
    </row>
    <row r="34" spans="1:6" s="39" customFormat="1" ht="18" customHeight="1">
      <c r="A34" s="226" t="s">
        <v>48</v>
      </c>
      <c r="B34" s="227"/>
      <c r="C34" s="168"/>
      <c r="D34" s="168"/>
      <c r="E34" s="27" t="s">
        <v>49</v>
      </c>
      <c r="F34" s="40"/>
    </row>
    <row r="35" spans="1:6" s="39" customFormat="1" ht="17.25" customHeight="1">
      <c r="A35" s="168" t="s">
        <v>50</v>
      </c>
      <c r="B35" s="168" t="s">
        <v>51</v>
      </c>
      <c r="C35" s="169" t="s">
        <v>0</v>
      </c>
      <c r="D35" s="169" t="s">
        <v>8</v>
      </c>
      <c r="E35" s="168" t="s">
        <v>51</v>
      </c>
      <c r="F35" s="40"/>
    </row>
    <row r="36" spans="1:6" s="39" customFormat="1" ht="16.5" customHeight="1" thickBot="1">
      <c r="A36" s="170" t="s">
        <v>52</v>
      </c>
      <c r="B36" s="170" t="s">
        <v>52</v>
      </c>
      <c r="C36" s="170"/>
      <c r="D36" s="170"/>
      <c r="E36" s="170" t="s">
        <v>52</v>
      </c>
      <c r="F36" s="40"/>
    </row>
    <row r="37" spans="1:6" ht="18" customHeight="1" thickTop="1">
      <c r="A37" s="178"/>
      <c r="B37" s="178"/>
      <c r="C37" s="179" t="s">
        <v>9</v>
      </c>
      <c r="D37" s="180"/>
      <c r="E37" s="181"/>
      <c r="F37" s="17"/>
    </row>
    <row r="38" spans="1:6" ht="17.25" customHeight="1">
      <c r="A38" s="171">
        <v>1053940</v>
      </c>
      <c r="B38" s="171">
        <f>5135+5136+130136+5136+5136+5136+61236+5136+5136+21030.5+5706+248706</f>
        <v>502765.5</v>
      </c>
      <c r="C38" s="41" t="s">
        <v>54</v>
      </c>
      <c r="D38" s="182" t="s">
        <v>140</v>
      </c>
      <c r="E38" s="171">
        <v>248706</v>
      </c>
      <c r="F38" s="17"/>
    </row>
    <row r="39" spans="1:10" ht="18.75" customHeight="1">
      <c r="A39" s="171">
        <v>7010820</v>
      </c>
      <c r="B39" s="171">
        <f>512575+512575+523483.87+649240+536850+536850+544750+558750+536865+532980+532980+532980</f>
        <v>6510878.87</v>
      </c>
      <c r="C39" s="41" t="s">
        <v>10</v>
      </c>
      <c r="D39" s="183">
        <v>5100</v>
      </c>
      <c r="E39" s="171">
        <v>532980</v>
      </c>
      <c r="F39" s="23"/>
      <c r="G39" s="17"/>
      <c r="H39" s="17"/>
      <c r="I39" s="184"/>
      <c r="J39" s="16"/>
    </row>
    <row r="40" spans="1:10" ht="18.75" customHeight="1">
      <c r="A40" s="171">
        <v>1414000</v>
      </c>
      <c r="B40" s="171">
        <f>102710+101710+101710+101710+101710+103968.05+101710+101710+101710+110902+113110+114110</f>
        <v>1256770.05</v>
      </c>
      <c r="C40" s="41" t="s">
        <v>11</v>
      </c>
      <c r="D40" s="183">
        <v>5130</v>
      </c>
      <c r="E40" s="175">
        <v>114110</v>
      </c>
      <c r="F40" s="23"/>
      <c r="G40" s="17"/>
      <c r="H40" s="17"/>
      <c r="I40" s="16"/>
      <c r="J40" s="16"/>
    </row>
    <row r="41" spans="1:10" ht="18.75" customHeight="1">
      <c r="A41" s="171">
        <v>596000</v>
      </c>
      <c r="B41" s="171">
        <f>16650+16650+25650+16650-1950+14700+13200+10200+10200+13700+27400+28400</f>
        <v>191450</v>
      </c>
      <c r="C41" s="41" t="s">
        <v>12</v>
      </c>
      <c r="D41" s="183">
        <v>5200</v>
      </c>
      <c r="E41" s="171">
        <v>28400</v>
      </c>
      <c r="F41" s="23"/>
      <c r="G41" s="17"/>
      <c r="H41" s="17"/>
      <c r="I41" s="16"/>
      <c r="J41" s="16"/>
    </row>
    <row r="42" spans="1:10" ht="18.75" customHeight="1">
      <c r="A42" s="171">
        <v>2931024</v>
      </c>
      <c r="B42" s="171">
        <f>5000+35354.05+59795.1+16944.05+29010.85+94159.05+130208.05+132613.05+44270+30875.09+184254.51</f>
        <v>762483.7999999999</v>
      </c>
      <c r="C42" s="41" t="s">
        <v>13</v>
      </c>
      <c r="D42" s="183">
        <v>5250</v>
      </c>
      <c r="E42" s="171">
        <v>184254.51</v>
      </c>
      <c r="F42" s="23"/>
      <c r="G42" s="17"/>
      <c r="H42" s="17"/>
      <c r="I42" s="184"/>
      <c r="J42" s="16"/>
    </row>
    <row r="43" spans="1:10" ht="18.75" customHeight="1">
      <c r="A43" s="171">
        <v>2224216</v>
      </c>
      <c r="B43" s="175">
        <f>4900+224110.88+86377.28+82190+162280.2+247913.8+173033.68+212505+148825.44+163481.72</f>
        <v>1505618</v>
      </c>
      <c r="C43" s="41" t="s">
        <v>14</v>
      </c>
      <c r="D43" s="183">
        <v>5270</v>
      </c>
      <c r="E43" s="175">
        <v>163481.72</v>
      </c>
      <c r="F43" s="23"/>
      <c r="G43" s="17"/>
      <c r="H43" s="17"/>
      <c r="I43" s="184"/>
      <c r="J43" s="16"/>
    </row>
    <row r="44" spans="1:10" ht="18.75" customHeight="1">
      <c r="A44" s="171">
        <v>513000</v>
      </c>
      <c r="B44" s="175">
        <f>23833.42+26634.1+30902.47+43907.6+19849.55+30837.35+32423.45+29360.89+26016.56+23792.81+43187.7</f>
        <v>330745.9</v>
      </c>
      <c r="C44" s="41" t="s">
        <v>15</v>
      </c>
      <c r="D44" s="183">
        <v>5300</v>
      </c>
      <c r="E44" s="175">
        <v>43187.7</v>
      </c>
      <c r="F44" s="23"/>
      <c r="G44" s="17"/>
      <c r="H44" s="17"/>
      <c r="I44" s="16"/>
      <c r="J44" s="16"/>
    </row>
    <row r="45" spans="1:10" ht="18.75" customHeight="1">
      <c r="A45" s="171">
        <v>1792000</v>
      </c>
      <c r="B45" s="175">
        <f>756000+368000+357000+357000+112500</f>
        <v>1950500</v>
      </c>
      <c r="C45" s="41" t="s">
        <v>16</v>
      </c>
      <c r="D45" s="183">
        <v>5400</v>
      </c>
      <c r="E45" s="175">
        <v>112500</v>
      </c>
      <c r="F45" s="23"/>
      <c r="G45" s="17"/>
      <c r="H45" s="17"/>
      <c r="I45" s="184"/>
      <c r="J45" s="16"/>
    </row>
    <row r="46" spans="1:10" ht="15.75" customHeight="1">
      <c r="A46" s="171">
        <v>335000</v>
      </c>
      <c r="B46" s="175">
        <f>118000+133878</f>
        <v>251878</v>
      </c>
      <c r="C46" s="41" t="s">
        <v>17</v>
      </c>
      <c r="D46" s="183">
        <v>5450</v>
      </c>
      <c r="E46" s="175">
        <v>133878</v>
      </c>
      <c r="F46" s="23"/>
      <c r="G46" s="184"/>
      <c r="H46" s="17"/>
      <c r="I46" s="16"/>
      <c r="J46" s="16"/>
    </row>
    <row r="47" spans="1:10" ht="18.75" customHeight="1">
      <c r="A47" s="171">
        <v>600000</v>
      </c>
      <c r="B47" s="175">
        <f>21600+230000+246500+25940</f>
        <v>524040</v>
      </c>
      <c r="C47" s="41" t="s">
        <v>18</v>
      </c>
      <c r="D47" s="183"/>
      <c r="E47" s="175">
        <v>25940</v>
      </c>
      <c r="F47" s="17"/>
      <c r="G47" s="16"/>
      <c r="H47" s="17"/>
      <c r="I47" s="16"/>
      <c r="J47" s="16"/>
    </row>
    <row r="48" spans="1:10" ht="18.75" customHeight="1">
      <c r="A48" s="171">
        <v>30000</v>
      </c>
      <c r="B48" s="175">
        <v>0</v>
      </c>
      <c r="C48" s="41" t="s">
        <v>244</v>
      </c>
      <c r="D48" s="183">
        <v>6500</v>
      </c>
      <c r="E48" s="175">
        <v>0</v>
      </c>
      <c r="F48" s="17"/>
      <c r="G48" s="16"/>
      <c r="H48" s="17"/>
      <c r="I48" s="184"/>
      <c r="J48" s="16"/>
    </row>
    <row r="49" spans="1:10" ht="18.75" customHeight="1" thickBot="1">
      <c r="A49" s="173">
        <f>SUM(A38:A48)</f>
        <v>18500000</v>
      </c>
      <c r="B49" s="173">
        <f>SUM(B38:B48)</f>
        <v>13787130.120000001</v>
      </c>
      <c r="C49" s="41"/>
      <c r="D49" s="183"/>
      <c r="E49" s="173">
        <f>SUM(E38:E48)</f>
        <v>1587437.93</v>
      </c>
      <c r="F49" s="17"/>
      <c r="G49" s="16"/>
      <c r="H49" s="17"/>
      <c r="I49" s="16"/>
      <c r="J49" s="16"/>
    </row>
    <row r="50" spans="1:10" ht="15.75" customHeight="1" thickTop="1">
      <c r="A50" s="171"/>
      <c r="B50" s="171">
        <f>0</f>
        <v>0</v>
      </c>
      <c r="C50" s="41" t="s">
        <v>91</v>
      </c>
      <c r="D50" s="183">
        <v>7000</v>
      </c>
      <c r="E50" s="171">
        <v>0</v>
      </c>
      <c r="F50" s="17"/>
      <c r="G50" s="16"/>
      <c r="H50" s="16"/>
      <c r="I50" s="16"/>
      <c r="J50" s="16"/>
    </row>
    <row r="51" spans="1:6" ht="18" customHeight="1">
      <c r="A51" s="171"/>
      <c r="B51" s="171">
        <f>417230+468230+488830+436530+435930+434330+430830+430150+428740+428740+497740+426140</f>
        <v>5323420</v>
      </c>
      <c r="C51" s="41" t="s">
        <v>298</v>
      </c>
      <c r="D51" s="183">
        <v>7400</v>
      </c>
      <c r="E51" s="171">
        <v>426140</v>
      </c>
      <c r="F51" s="17"/>
    </row>
    <row r="52" spans="1:6" ht="18" customHeight="1">
      <c r="A52" s="171"/>
      <c r="B52" s="171"/>
      <c r="C52" s="41" t="s">
        <v>18</v>
      </c>
      <c r="D52" s="183">
        <v>7500</v>
      </c>
      <c r="E52" s="171"/>
      <c r="F52" s="17"/>
    </row>
    <row r="53" spans="1:6" ht="18" customHeight="1">
      <c r="A53" s="171"/>
      <c r="B53" s="171">
        <f>50500+40000+48800+33376+10200+23400+8400</f>
        <v>214676</v>
      </c>
      <c r="C53" s="41" t="s">
        <v>56</v>
      </c>
      <c r="D53" s="174">
        <v>90</v>
      </c>
      <c r="E53" s="171">
        <v>0</v>
      </c>
      <c r="F53" s="17"/>
    </row>
    <row r="54" spans="1:7" ht="18" customHeight="1">
      <c r="A54" s="171"/>
      <c r="B54" s="171"/>
      <c r="C54" s="41" t="s">
        <v>135</v>
      </c>
      <c r="D54" s="174"/>
      <c r="E54" s="171">
        <v>0</v>
      </c>
      <c r="F54" s="17"/>
      <c r="G54" s="25" t="s">
        <v>97</v>
      </c>
    </row>
    <row r="55" spans="1:8" ht="18" customHeight="1">
      <c r="A55" s="171"/>
      <c r="B55" s="171"/>
      <c r="C55" s="41" t="s">
        <v>57</v>
      </c>
      <c r="D55" s="183">
        <v>600</v>
      </c>
      <c r="E55" s="171">
        <v>0</v>
      </c>
      <c r="F55" s="17"/>
      <c r="H55" s="25" t="s">
        <v>97</v>
      </c>
    </row>
    <row r="56" spans="1:6" ht="18" customHeight="1">
      <c r="A56" s="171"/>
      <c r="B56" s="171">
        <v>90000</v>
      </c>
      <c r="C56" s="41" t="s">
        <v>308</v>
      </c>
      <c r="D56" s="183"/>
      <c r="E56" s="171">
        <v>0</v>
      </c>
      <c r="F56" s="17"/>
    </row>
    <row r="57" spans="1:6" ht="18" customHeight="1">
      <c r="A57" s="171"/>
      <c r="B57" s="171">
        <f>4440000+665328+35000+39921.7</f>
        <v>5180249.7</v>
      </c>
      <c r="C57" s="41" t="s">
        <v>307</v>
      </c>
      <c r="D57" s="183">
        <v>602</v>
      </c>
      <c r="E57" s="171">
        <v>0</v>
      </c>
      <c r="F57" s="17"/>
    </row>
    <row r="58" spans="1:6" ht="18" customHeight="1">
      <c r="A58" s="171"/>
      <c r="B58" s="171">
        <f>329000+240000+2340000+1878000+903000+790136+489400+2732000+1958832+1331500</f>
        <v>12991868</v>
      </c>
      <c r="C58" s="41" t="s">
        <v>55</v>
      </c>
      <c r="D58" s="183">
        <v>700</v>
      </c>
      <c r="E58" s="171">
        <v>0</v>
      </c>
      <c r="F58" s="17"/>
    </row>
    <row r="59" spans="1:6" ht="18" customHeight="1">
      <c r="A59" s="171"/>
      <c r="B59" s="171">
        <f>936514.15+45470.1+6288.99+3146.35+24610.94+18438.74+8520.01+53167.53+6397.85+30605.57+21149.64+31632.57</f>
        <v>1185942.44</v>
      </c>
      <c r="C59" s="41" t="s">
        <v>76</v>
      </c>
      <c r="D59" s="183">
        <v>900</v>
      </c>
      <c r="E59" s="171">
        <v>31632.57</v>
      </c>
      <c r="F59" s="17"/>
    </row>
    <row r="60" spans="1:6" ht="18" customHeight="1">
      <c r="A60" s="171"/>
      <c r="B60" s="171">
        <f>+E60</f>
        <v>0</v>
      </c>
      <c r="C60" s="41" t="s">
        <v>58</v>
      </c>
      <c r="D60" s="174">
        <v>11</v>
      </c>
      <c r="E60" s="171">
        <v>0</v>
      </c>
      <c r="F60" s="17"/>
    </row>
    <row r="61" spans="1:6" ht="18" customHeight="1">
      <c r="A61" s="171"/>
      <c r="B61" s="177">
        <f>SUM(B50:B60)</f>
        <v>24986156.14</v>
      </c>
      <c r="C61" s="41"/>
      <c r="D61" s="183"/>
      <c r="E61" s="177">
        <f>SUM(E50:E59)</f>
        <v>457772.57</v>
      </c>
      <c r="F61" s="17"/>
    </row>
    <row r="62" spans="1:7" ht="18" customHeight="1">
      <c r="A62" s="171"/>
      <c r="B62" s="177">
        <f>SUM(B61,B49)</f>
        <v>38773286.260000005</v>
      </c>
      <c r="C62" s="183" t="s">
        <v>59</v>
      </c>
      <c r="D62" s="183"/>
      <c r="E62" s="177">
        <f>SUM(E61,E49)</f>
        <v>2045210.5</v>
      </c>
      <c r="F62" s="17"/>
      <c r="G62" s="17"/>
    </row>
    <row r="63" spans="1:7" ht="18" customHeight="1">
      <c r="A63" s="171"/>
      <c r="B63" s="171">
        <f>B31-B62</f>
        <v>-6917008.090000004</v>
      </c>
      <c r="C63" s="183" t="s">
        <v>19</v>
      </c>
      <c r="D63" s="183"/>
      <c r="E63" s="171">
        <f>E31-E62</f>
        <v>3901351.62</v>
      </c>
      <c r="F63" s="17"/>
      <c r="G63" s="25" t="s">
        <v>97</v>
      </c>
    </row>
    <row r="64" spans="1:6" ht="18" customHeight="1">
      <c r="A64" s="171"/>
      <c r="B64" s="171"/>
      <c r="C64" s="41" t="s">
        <v>270</v>
      </c>
      <c r="D64" s="183"/>
      <c r="E64" s="171"/>
      <c r="F64" s="17" t="s">
        <v>97</v>
      </c>
    </row>
    <row r="65" spans="1:6" ht="18" customHeight="1">
      <c r="A65" s="171"/>
      <c r="B65" s="171"/>
      <c r="C65" s="183" t="s">
        <v>60</v>
      </c>
      <c r="D65" s="183"/>
      <c r="E65" s="185"/>
      <c r="F65" s="17"/>
    </row>
    <row r="66" spans="1:6" ht="18" customHeight="1" thickBot="1">
      <c r="A66" s="245"/>
      <c r="B66" s="173">
        <f>B9+B63</f>
        <v>22494491.759999998</v>
      </c>
      <c r="C66" s="246"/>
      <c r="D66" s="247"/>
      <c r="E66" s="173">
        <f>E9+E63</f>
        <v>22494491.76</v>
      </c>
      <c r="F66" s="17"/>
    </row>
    <row r="67" spans="1:6" ht="11.25" customHeight="1" thickTop="1">
      <c r="A67" s="187"/>
      <c r="B67" s="17"/>
      <c r="D67" s="71"/>
      <c r="E67" s="17"/>
      <c r="F67" s="17"/>
    </row>
    <row r="68" spans="1:6" ht="1.5" customHeight="1">
      <c r="A68" s="187"/>
      <c r="B68" s="17"/>
      <c r="D68" s="71"/>
      <c r="E68" s="17"/>
      <c r="F68" s="17"/>
    </row>
    <row r="69" spans="1:6" s="45" customFormat="1" ht="21.75">
      <c r="A69" s="46"/>
      <c r="B69" s="44"/>
      <c r="D69" s="47"/>
      <c r="E69" s="44"/>
      <c r="F69" s="44"/>
    </row>
    <row r="70" spans="1:6" s="159" customFormat="1" ht="24">
      <c r="A70" s="35" t="s">
        <v>382</v>
      </c>
      <c r="B70" s="35"/>
      <c r="C70" s="35"/>
      <c r="D70" s="158"/>
      <c r="E70" s="158"/>
      <c r="F70" s="158"/>
    </row>
    <row r="71" spans="1:6" s="159" customFormat="1" ht="24">
      <c r="A71" s="35" t="s">
        <v>383</v>
      </c>
      <c r="B71" s="35"/>
      <c r="C71" s="35"/>
      <c r="D71" s="158"/>
      <c r="E71" s="158"/>
      <c r="F71" s="158"/>
    </row>
    <row r="72" spans="1:6" s="159" customFormat="1" ht="24">
      <c r="A72" s="187" t="s">
        <v>384</v>
      </c>
      <c r="B72" s="35"/>
      <c r="C72" s="35"/>
      <c r="D72" s="158"/>
      <c r="E72" s="158"/>
      <c r="F72" s="158"/>
    </row>
    <row r="73" spans="1:8" ht="24">
      <c r="A73" s="1"/>
      <c r="B73" s="16"/>
      <c r="C73" s="16"/>
      <c r="D73" s="16"/>
      <c r="E73" s="16"/>
      <c r="F73" s="16"/>
      <c r="H73" s="25" t="s">
        <v>97</v>
      </c>
    </row>
    <row r="74" spans="1:7" ht="24">
      <c r="A74" s="1"/>
      <c r="B74" s="16"/>
      <c r="C74" s="16"/>
      <c r="D74" s="16"/>
      <c r="E74" s="16"/>
      <c r="F74" s="16"/>
      <c r="G74" s="25" t="s">
        <v>97</v>
      </c>
    </row>
    <row r="75" spans="1:6" ht="24">
      <c r="A75" s="16"/>
      <c r="B75" s="16"/>
      <c r="C75" s="16"/>
      <c r="D75" s="16"/>
      <c r="E75" s="48"/>
      <c r="F75" s="16"/>
    </row>
    <row r="76" spans="1:6" ht="24">
      <c r="A76" s="16"/>
      <c r="B76" s="16"/>
      <c r="C76" s="40"/>
      <c r="D76" s="16"/>
      <c r="E76" s="16"/>
      <c r="F76" s="16"/>
    </row>
    <row r="77" spans="1:7" ht="24">
      <c r="A77" s="16"/>
      <c r="B77" s="16"/>
      <c r="C77" s="16"/>
      <c r="D77" s="16"/>
      <c r="E77" s="48"/>
      <c r="F77" s="16"/>
      <c r="G77" s="25" t="s">
        <v>97</v>
      </c>
    </row>
    <row r="78" spans="1:6" ht="24">
      <c r="A78" s="228"/>
      <c r="B78" s="228"/>
      <c r="C78" s="40"/>
      <c r="D78" s="40"/>
      <c r="E78" s="40"/>
      <c r="F78" s="40"/>
    </row>
    <row r="79" spans="1:6" ht="24">
      <c r="A79" s="40"/>
      <c r="B79" s="40"/>
      <c r="C79" s="40"/>
      <c r="D79" s="40"/>
      <c r="E79" s="40"/>
      <c r="F79" s="40"/>
    </row>
    <row r="80" spans="1:6" ht="24">
      <c r="A80" s="40"/>
      <c r="B80" s="40"/>
      <c r="C80" s="40"/>
      <c r="D80" s="40"/>
      <c r="E80" s="40"/>
      <c r="F80" s="40"/>
    </row>
    <row r="81" spans="1:6" ht="24">
      <c r="A81" s="17"/>
      <c r="B81" s="17"/>
      <c r="C81" s="16"/>
      <c r="D81" s="49"/>
      <c r="E81" s="17"/>
      <c r="F81" s="17"/>
    </row>
    <row r="82" spans="1:6" ht="24">
      <c r="A82" s="17"/>
      <c r="B82" s="17"/>
      <c r="C82" s="50"/>
      <c r="D82" s="49"/>
      <c r="E82" s="17"/>
      <c r="F82" s="17"/>
    </row>
    <row r="83" spans="1:6" ht="24">
      <c r="A83" s="17"/>
      <c r="B83" s="17"/>
      <c r="C83" s="16"/>
      <c r="D83" s="49"/>
      <c r="E83" s="17"/>
      <c r="F83" s="17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16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51"/>
      <c r="E93" s="17"/>
      <c r="F93" s="17"/>
    </row>
    <row r="94" spans="1:6" ht="24">
      <c r="A94" s="17"/>
      <c r="B94" s="17"/>
      <c r="C94" s="16"/>
      <c r="D94" s="51"/>
      <c r="E94" s="17"/>
      <c r="F94" s="17"/>
    </row>
    <row r="95" spans="1:6" ht="24">
      <c r="A95" s="17"/>
      <c r="B95" s="17"/>
      <c r="C95" s="16"/>
      <c r="D95" s="51"/>
      <c r="E95" s="17"/>
      <c r="F95" s="17"/>
    </row>
    <row r="96" spans="1:6" ht="24">
      <c r="A96" s="17"/>
      <c r="B96" s="17"/>
      <c r="C96" s="16"/>
      <c r="D96" s="49"/>
      <c r="E96" s="17"/>
      <c r="F96" s="17"/>
    </row>
    <row r="97" spans="1:6" ht="24">
      <c r="A97" s="17"/>
      <c r="B97" s="17"/>
      <c r="C97" s="16"/>
      <c r="D97" s="49"/>
      <c r="E97" s="17"/>
      <c r="F97" s="17"/>
    </row>
    <row r="98" spans="1:6" ht="24">
      <c r="A98" s="17"/>
      <c r="B98" s="17"/>
      <c r="C98" s="16"/>
      <c r="D98" s="49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229"/>
      <c r="B107" s="229"/>
      <c r="C107" s="43"/>
      <c r="D107" s="43"/>
      <c r="E107" s="43"/>
      <c r="F107" s="43"/>
    </row>
    <row r="108" spans="1:6" ht="24">
      <c r="A108" s="43"/>
      <c r="B108" s="43"/>
      <c r="C108" s="43"/>
      <c r="D108" s="43"/>
      <c r="E108" s="43"/>
      <c r="F108" s="43"/>
    </row>
    <row r="109" spans="1:6" ht="24">
      <c r="A109" s="43"/>
      <c r="B109" s="43"/>
      <c r="C109" s="43"/>
      <c r="D109" s="43"/>
      <c r="E109" s="43"/>
      <c r="F109" s="43"/>
    </row>
    <row r="110" spans="1:6" ht="24">
      <c r="A110" s="52"/>
      <c r="B110" s="52"/>
      <c r="C110" s="53"/>
      <c r="D110" s="47"/>
      <c r="E110" s="44"/>
      <c r="F110" s="44"/>
    </row>
    <row r="111" spans="1:6" ht="24">
      <c r="A111" s="44"/>
      <c r="B111" s="44"/>
      <c r="C111" s="52"/>
      <c r="D111" s="54"/>
      <c r="E111" s="44"/>
      <c r="F111" s="44"/>
    </row>
    <row r="112" spans="1:6" ht="24">
      <c r="A112" s="44"/>
      <c r="B112" s="44"/>
      <c r="C112" s="52"/>
      <c r="D112" s="47"/>
      <c r="E112" s="44"/>
      <c r="F112" s="44"/>
    </row>
    <row r="113" spans="1:6" ht="24">
      <c r="A113" s="44"/>
      <c r="B113" s="44"/>
      <c r="C113" s="52"/>
      <c r="D113" s="47"/>
      <c r="E113" s="44"/>
      <c r="F113" s="44"/>
    </row>
    <row r="114" spans="1:6" ht="24">
      <c r="A114" s="44"/>
      <c r="B114" s="44"/>
      <c r="C114" s="52"/>
      <c r="D114" s="47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54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47"/>
      <c r="E134" s="44"/>
      <c r="F134" s="44"/>
    </row>
    <row r="135" spans="1:6" ht="24">
      <c r="A135" s="44"/>
      <c r="B135" s="44"/>
      <c r="C135" s="52"/>
      <c r="D135" s="54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47"/>
      <c r="D137" s="47"/>
      <c r="E137" s="44"/>
      <c r="F137" s="44"/>
    </row>
    <row r="138" spans="1:6" ht="24">
      <c r="A138" s="44"/>
      <c r="B138" s="44"/>
      <c r="C138" s="47"/>
      <c r="D138" s="47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55"/>
      <c r="F140" s="44"/>
    </row>
    <row r="141" spans="1:6" ht="24">
      <c r="A141" s="56"/>
      <c r="B141" s="44"/>
      <c r="C141" s="52"/>
      <c r="D141" s="47"/>
      <c r="E141" s="44"/>
      <c r="F141" s="44"/>
    </row>
    <row r="142" spans="1:6" ht="24">
      <c r="A142" s="56"/>
      <c r="B142" s="44"/>
      <c r="C142" s="52"/>
      <c r="D142" s="47"/>
      <c r="E142" s="44"/>
      <c r="F142" s="44"/>
    </row>
    <row r="143" spans="1:6" ht="24">
      <c r="A143" s="223"/>
      <c r="B143" s="223"/>
      <c r="C143" s="223"/>
      <c r="D143" s="223"/>
      <c r="E143" s="223"/>
      <c r="F143" s="223"/>
    </row>
    <row r="144" spans="1:6" ht="24">
      <c r="A144" s="223"/>
      <c r="B144" s="223"/>
      <c r="C144" s="223"/>
      <c r="D144" s="223"/>
      <c r="E144" s="223"/>
      <c r="F144" s="223"/>
    </row>
    <row r="145" spans="1:6" ht="24">
      <c r="A145" s="223"/>
      <c r="B145" s="223"/>
      <c r="C145" s="223"/>
      <c r="D145" s="223"/>
      <c r="E145" s="223"/>
      <c r="F145" s="223"/>
    </row>
    <row r="146" spans="1:6" ht="24">
      <c r="A146" s="16"/>
      <c r="B146" s="16"/>
      <c r="C146" s="16"/>
      <c r="D146" s="16"/>
      <c r="E146" s="16"/>
      <c r="F146" s="16"/>
    </row>
    <row r="147" spans="1:6" ht="24">
      <c r="A147" s="16"/>
      <c r="B147" s="16"/>
      <c r="C147" s="16"/>
      <c r="D147" s="16"/>
      <c r="E147" s="16"/>
      <c r="F147" s="16"/>
    </row>
    <row r="148" spans="1:6" ht="24">
      <c r="A148" s="16"/>
      <c r="B148" s="16"/>
      <c r="C148" s="16"/>
      <c r="D148" s="16"/>
      <c r="E148" s="16"/>
      <c r="F148" s="16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</sheetData>
  <sheetProtection/>
  <mergeCells count="7">
    <mergeCell ref="A145:F145"/>
    <mergeCell ref="A6:B6"/>
    <mergeCell ref="A34:B34"/>
    <mergeCell ref="A78:B78"/>
    <mergeCell ref="A107:B107"/>
    <mergeCell ref="A143:F143"/>
    <mergeCell ref="A144:F144"/>
  </mergeCells>
  <printOptions/>
  <pageMargins left="0.35" right="0.33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64">
      <selection activeCell="I60" sqref="I60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3.8515625" style="25" customWidth="1"/>
    <col min="4" max="4" width="10.421875" style="25" customWidth="1"/>
    <col min="5" max="5" width="20.42187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351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23861101.11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f>150+13912.08+27623.22+20520.2+5685.12+2871.7+6521.78</f>
        <v>77284.09999999999</v>
      </c>
      <c r="C11" s="41" t="s">
        <v>1</v>
      </c>
      <c r="D11" s="42">
        <f>G13</f>
        <v>0</v>
      </c>
      <c r="E11" s="171">
        <v>6521.78</v>
      </c>
      <c r="F11" s="17"/>
    </row>
    <row r="12" spans="1:6" ht="24">
      <c r="A12" s="171">
        <v>90900</v>
      </c>
      <c r="B12" s="171">
        <f>6359+6062+5960+7460+12294+6380+5740+6515+5972</f>
        <v>62742</v>
      </c>
      <c r="C12" s="41" t="s">
        <v>53</v>
      </c>
      <c r="D12" s="42">
        <v>120</v>
      </c>
      <c r="E12" s="171">
        <v>5972</v>
      </c>
      <c r="F12" s="17" t="s">
        <v>326</v>
      </c>
    </row>
    <row r="13" spans="1:6" ht="24">
      <c r="A13" s="171">
        <v>105180</v>
      </c>
      <c r="B13" s="171">
        <f>19928.01+12594.23</f>
        <v>32522.239999999998</v>
      </c>
      <c r="C13" s="41" t="s">
        <v>2</v>
      </c>
      <c r="D13" s="42">
        <v>200</v>
      </c>
      <c r="E13" s="171"/>
      <c r="F13" s="17"/>
    </row>
    <row r="14" spans="1:6" ht="24">
      <c r="A14" s="171">
        <v>320000</v>
      </c>
      <c r="B14" s="171">
        <f>23929+26896+29051+33017+34535+34355+33991+32050+31079</f>
        <v>278903</v>
      </c>
      <c r="C14" s="41" t="s">
        <v>3</v>
      </c>
      <c r="D14" s="42">
        <v>253</v>
      </c>
      <c r="E14" s="171">
        <v>31079</v>
      </c>
      <c r="F14" s="17"/>
    </row>
    <row r="15" spans="1:8" ht="24">
      <c r="A15" s="171">
        <v>23000</v>
      </c>
      <c r="B15" s="171">
        <f>470+5490+1410+20+1460+960+20</f>
        <v>9830</v>
      </c>
      <c r="C15" s="41" t="s">
        <v>4</v>
      </c>
      <c r="D15" s="42">
        <v>300</v>
      </c>
      <c r="E15" s="171">
        <v>20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395264.4+247669.8+334101.38+2537655.66+412867.37+1780728.24+456609.1+793084.26</f>
        <v>6957980.21</v>
      </c>
      <c r="C17" s="41" t="s">
        <v>6</v>
      </c>
      <c r="D17" s="42">
        <v>1000</v>
      </c>
      <c r="E17" s="171">
        <v>793084.26</v>
      </c>
      <c r="F17" s="17"/>
    </row>
    <row r="18" spans="1:8" ht="24">
      <c r="A18" s="171">
        <v>12315400</v>
      </c>
      <c r="B18" s="171">
        <f>3378679+3224538+1894703+176640</f>
        <v>8674560</v>
      </c>
      <c r="C18" s="41" t="s">
        <v>271</v>
      </c>
      <c r="D18" s="42">
        <v>2000</v>
      </c>
      <c r="E18" s="171">
        <v>176640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16093821.55</v>
      </c>
      <c r="C19" s="41"/>
      <c r="D19" s="42"/>
      <c r="E19" s="173">
        <f>SUM(E11:E18)</f>
        <v>1013317.04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1022.66+6542.98+736.83+27124.29+2981.42+897.42+1929.55+1566.99+42271.46</f>
        <v>85073.6</v>
      </c>
      <c r="C23" s="41" t="s">
        <v>7</v>
      </c>
      <c r="D23" s="174">
        <v>900</v>
      </c>
      <c r="E23" s="175">
        <v>42271.46</v>
      </c>
      <c r="F23" s="17"/>
      <c r="G23" s="101"/>
      <c r="H23" s="101"/>
    </row>
    <row r="24" spans="1:6" ht="24">
      <c r="A24" s="171"/>
      <c r="B24" s="171">
        <f>5940+12196.37</f>
        <v>18136.370000000003</v>
      </c>
      <c r="C24" s="41" t="s">
        <v>22</v>
      </c>
      <c r="D24" s="174">
        <v>700</v>
      </c>
      <c r="E24" s="171">
        <f>12000+46.37+150</f>
        <v>12196.37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f>800+100</f>
        <v>900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104109.97</v>
      </c>
      <c r="C33" s="41"/>
      <c r="D33" s="42"/>
      <c r="E33" s="177">
        <f>SUM(E20:E32)</f>
        <v>54467.83</v>
      </c>
      <c r="F33" s="17"/>
    </row>
    <row r="34" spans="1:6" ht="24.75" thickBot="1">
      <c r="A34" s="173">
        <f>SUM(A33,A19)</f>
        <v>25500000</v>
      </c>
      <c r="B34" s="173">
        <f>SUM(B33,B19)</f>
        <v>16197931.520000001</v>
      </c>
      <c r="C34" s="41"/>
      <c r="D34" s="42"/>
      <c r="E34" s="173">
        <f>SUM(E33,E19)</f>
        <v>1067784.87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86136+439135+41927+6227+39827+6227+50427+19587+97727</f>
        <v>787220</v>
      </c>
      <c r="C41" s="41" t="s">
        <v>54</v>
      </c>
      <c r="D41" s="182" t="s">
        <v>140</v>
      </c>
      <c r="E41" s="171">
        <v>97727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573220+580590+563940+514080+514080+514080+543046+576050+538565</f>
        <v>4917651</v>
      </c>
      <c r="C42" s="41" t="s">
        <v>10</v>
      </c>
      <c r="D42" s="183">
        <v>5100</v>
      </c>
      <c r="E42" s="171">
        <v>538565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124110+124970+124540+124540+124540+124540+129206+131540+131540</f>
        <v>1139526</v>
      </c>
      <c r="C43" s="41" t="s">
        <v>11</v>
      </c>
      <c r="D43" s="183">
        <v>5130</v>
      </c>
      <c r="E43" s="175">
        <v>131540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25300+15400+11700+7700+9550+15400+18950+14700</f>
        <v>118700</v>
      </c>
      <c r="C44" s="41" t="s">
        <v>12</v>
      </c>
      <c r="D44" s="183">
        <v>5200</v>
      </c>
      <c r="E44" s="171">
        <v>14700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48980+10510.51+53564.1+124036.53+33601.3+82612.7+146464.2+31197.4</f>
        <v>530966.74</v>
      </c>
      <c r="C45" s="41" t="s">
        <v>13</v>
      </c>
      <c r="D45" s="183">
        <v>5250</v>
      </c>
      <c r="E45" s="171">
        <v>31197.4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150210.18+168155.28+107286+166682.04+16080+289903.98+6876+118714.08</f>
        <v>1023907.5599999999</v>
      </c>
      <c r="C46" s="41" t="s">
        <v>14</v>
      </c>
      <c r="D46" s="183">
        <v>5270</v>
      </c>
      <c r="E46" s="171">
        <v>118714.08</v>
      </c>
      <c r="F46" s="23"/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22080.65+25362.28+22766.68+22972.53+20133.97+23801.58+22890.4+31713.04</f>
        <v>191721.13</v>
      </c>
      <c r="C47" s="41" t="s">
        <v>15</v>
      </c>
      <c r="D47" s="183">
        <v>5300</v>
      </c>
      <c r="E47" s="175">
        <v>31713.04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436000+103700+431200+400000</f>
        <v>1370900</v>
      </c>
      <c r="C48" s="41" t="s">
        <v>16</v>
      </c>
      <c r="D48" s="183">
        <v>5400</v>
      </c>
      <c r="E48" s="175">
        <v>400000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10080592.430000002</v>
      </c>
      <c r="C52" s="41"/>
      <c r="D52" s="183"/>
      <c r="E52" s="173">
        <f>SUM(E41:E51)</f>
        <v>1364156.52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365800+442500+384800+394400+392200+393000+392200+391500+393100</f>
        <v>3549500</v>
      </c>
      <c r="C54" s="41" t="s">
        <v>298</v>
      </c>
      <c r="D54" s="183">
        <v>7400</v>
      </c>
      <c r="E54" s="171">
        <v>393100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7800+13800+47200+9000+12700+9500</f>
        <v>100000</v>
      </c>
      <c r="C56" s="41" t="s">
        <v>56</v>
      </c>
      <c r="D56" s="174">
        <v>90</v>
      </c>
      <c r="E56" s="171">
        <v>9500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336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252795+275472+122600</f>
        <v>650867</v>
      </c>
      <c r="C61" s="41" t="s">
        <v>55</v>
      </c>
      <c r="D61" s="183">
        <v>700</v>
      </c>
      <c r="E61" s="171">
        <v>122600</v>
      </c>
      <c r="F61" s="17"/>
    </row>
    <row r="62" spans="1:6" ht="18" customHeight="1">
      <c r="A62" s="171"/>
      <c r="B62" s="171">
        <f>906415.28+59997.66+6542.98+103014.17+115929.37+56691.64+376.62+22966.67+126693.69</f>
        <v>1398628.0799999998</v>
      </c>
      <c r="C62" s="41" t="s">
        <v>76</v>
      </c>
      <c r="D62" s="183">
        <v>900</v>
      </c>
      <c r="E62" s="171">
        <v>126693.69</v>
      </c>
      <c r="F62" s="17"/>
    </row>
    <row r="63" spans="1:9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  <c r="H63" s="62" t="s">
        <v>378</v>
      </c>
      <c r="I63" s="62"/>
    </row>
    <row r="64" spans="1:9" ht="18" customHeight="1">
      <c r="A64" s="171"/>
      <c r="B64" s="177">
        <f>SUM(B53:B63)</f>
        <v>5698995.08</v>
      </c>
      <c r="C64" s="41"/>
      <c r="D64" s="183"/>
      <c r="E64" s="177">
        <f>SUM(E53:E62)</f>
        <v>651893.69</v>
      </c>
      <c r="F64" s="17"/>
      <c r="H64" s="62" t="s">
        <v>379</v>
      </c>
      <c r="I64" s="62"/>
    </row>
    <row r="65" spans="1:9" ht="18" customHeight="1">
      <c r="A65" s="171"/>
      <c r="B65" s="177">
        <f>SUM(B64,B52)</f>
        <v>15779587.510000002</v>
      </c>
      <c r="C65" s="183" t="s">
        <v>59</v>
      </c>
      <c r="D65" s="183"/>
      <c r="E65" s="177">
        <f>SUM(E64,E52)</f>
        <v>2016050.21</v>
      </c>
      <c r="F65" s="17"/>
      <c r="G65" s="17"/>
      <c r="H65" s="63">
        <v>418433.01</v>
      </c>
      <c r="I65" s="62"/>
    </row>
    <row r="66" spans="1:7" ht="18" customHeight="1">
      <c r="A66" s="171"/>
      <c r="B66" s="171">
        <f>B34-B65</f>
        <v>418344.0099999998</v>
      </c>
      <c r="C66" s="183" t="s">
        <v>19</v>
      </c>
      <c r="D66" s="183"/>
      <c r="E66" s="171">
        <f>E34-E65</f>
        <v>-948265.3399999999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22912835.770000003</v>
      </c>
      <c r="D69" s="183"/>
      <c r="E69" s="173">
        <f>E9+E66</f>
        <v>22912835.77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344</v>
      </c>
      <c r="B73" s="35"/>
      <c r="C73" s="35"/>
      <c r="D73" s="158"/>
      <c r="E73" s="158"/>
      <c r="F73" s="158"/>
    </row>
    <row r="74" spans="1:6" s="159" customFormat="1" ht="24">
      <c r="A74" s="35" t="s">
        <v>345</v>
      </c>
      <c r="B74" s="35"/>
      <c r="C74" s="35"/>
      <c r="D74" s="35"/>
      <c r="E74" s="158"/>
      <c r="F74" s="158"/>
    </row>
    <row r="75" spans="1:6" s="159" customFormat="1" ht="24">
      <c r="A75" s="187" t="s">
        <v>346</v>
      </c>
      <c r="B75" s="35"/>
      <c r="C75" s="35"/>
      <c r="D75" s="35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32" right="0.27" top="0.75" bottom="0.75" header="0.39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L64" sqref="L64:L65"/>
    </sheetView>
  </sheetViews>
  <sheetFormatPr defaultColWidth="9.140625" defaultRowHeight="23.25"/>
  <cols>
    <col min="1" max="1" width="2.7109375" style="25" customWidth="1"/>
    <col min="2" max="6" width="9.140625" style="25" customWidth="1"/>
    <col min="7" max="7" width="6.8515625" style="25" customWidth="1"/>
    <col min="8" max="8" width="28.28125" style="25" customWidth="1"/>
    <col min="9" max="9" width="19.7109375" style="57" customWidth="1"/>
    <col min="10" max="13" width="9.140625" style="25" customWidth="1"/>
    <col min="14" max="14" width="15.00390625" style="25" customWidth="1"/>
    <col min="15" max="16384" width="9.140625" style="25" customWidth="1"/>
  </cols>
  <sheetData>
    <row r="1" spans="1:10" ht="24">
      <c r="A1" s="230" t="s">
        <v>100</v>
      </c>
      <c r="B1" s="230"/>
      <c r="C1" s="230"/>
      <c r="D1" s="230"/>
      <c r="E1" s="230"/>
      <c r="F1" s="230"/>
      <c r="G1" s="230"/>
      <c r="H1" s="230"/>
      <c r="I1" s="230"/>
      <c r="J1" s="39"/>
    </row>
    <row r="2" spans="1:10" ht="24">
      <c r="A2" s="230" t="s">
        <v>245</v>
      </c>
      <c r="B2" s="230"/>
      <c r="C2" s="230"/>
      <c r="D2" s="230"/>
      <c r="E2" s="230"/>
      <c r="F2" s="230"/>
      <c r="G2" s="230"/>
      <c r="H2" s="230"/>
      <c r="I2" s="230"/>
      <c r="J2" s="39"/>
    </row>
    <row r="3" spans="1:10" ht="24">
      <c r="A3" s="230" t="s">
        <v>352</v>
      </c>
      <c r="B3" s="230"/>
      <c r="C3" s="230"/>
      <c r="D3" s="230"/>
      <c r="E3" s="230"/>
      <c r="F3" s="230"/>
      <c r="G3" s="230"/>
      <c r="H3" s="230"/>
      <c r="I3" s="230"/>
      <c r="J3" s="39"/>
    </row>
    <row r="4" spans="1:10" ht="12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ht="24">
      <c r="A5" s="58" t="s">
        <v>28</v>
      </c>
    </row>
    <row r="6" spans="1:14" ht="24">
      <c r="A6" s="58"/>
      <c r="B6" s="25" t="s">
        <v>29</v>
      </c>
      <c r="I6" s="57">
        <v>4928.12</v>
      </c>
      <c r="N6" s="57"/>
    </row>
    <row r="7" spans="2:14" ht="24">
      <c r="B7" s="25" t="s">
        <v>30</v>
      </c>
      <c r="I7" s="57">
        <v>553.66</v>
      </c>
      <c r="N7" s="57"/>
    </row>
    <row r="8" spans="2:14" ht="24">
      <c r="B8" s="25" t="s">
        <v>31</v>
      </c>
      <c r="I8" s="57">
        <v>1040</v>
      </c>
      <c r="N8" s="101"/>
    </row>
    <row r="9" spans="2:9" ht="24">
      <c r="B9" s="25" t="s">
        <v>40</v>
      </c>
      <c r="I9" s="57">
        <v>0</v>
      </c>
    </row>
    <row r="10" spans="2:9" ht="24">
      <c r="B10" s="25" t="s">
        <v>32</v>
      </c>
      <c r="I10" s="57">
        <v>462</v>
      </c>
    </row>
    <row r="11" spans="2:9" ht="24">
      <c r="B11" s="25" t="s">
        <v>129</v>
      </c>
      <c r="I11" s="57">
        <v>5510</v>
      </c>
    </row>
    <row r="12" spans="2:14" ht="24">
      <c r="B12" s="25" t="s">
        <v>131</v>
      </c>
      <c r="I12" s="57">
        <v>0</v>
      </c>
      <c r="N12" s="57"/>
    </row>
    <row r="13" spans="2:14" ht="24">
      <c r="B13" s="25" t="s">
        <v>46</v>
      </c>
      <c r="I13" s="57">
        <v>0</v>
      </c>
      <c r="N13" s="57"/>
    </row>
    <row r="14" spans="2:9" ht="24">
      <c r="B14" s="25" t="s">
        <v>77</v>
      </c>
      <c r="I14" s="57">
        <v>0</v>
      </c>
    </row>
    <row r="15" spans="2:14" ht="24">
      <c r="B15" s="25" t="s">
        <v>33</v>
      </c>
      <c r="I15" s="57">
        <v>0</v>
      </c>
      <c r="N15" s="101"/>
    </row>
    <row r="16" spans="2:9" ht="24">
      <c r="B16" s="25" t="s">
        <v>41</v>
      </c>
      <c r="I16" s="57">
        <v>0</v>
      </c>
    </row>
    <row r="17" spans="2:9" ht="24">
      <c r="B17" s="25" t="s">
        <v>132</v>
      </c>
      <c r="I17" s="57">
        <v>0</v>
      </c>
    </row>
    <row r="18" spans="2:9" ht="24">
      <c r="B18" s="25" t="s">
        <v>327</v>
      </c>
      <c r="I18" s="57">
        <v>0</v>
      </c>
    </row>
    <row r="19" spans="2:9" ht="24">
      <c r="B19" s="25" t="s">
        <v>42</v>
      </c>
      <c r="I19" s="57">
        <v>31079</v>
      </c>
    </row>
    <row r="20" spans="2:11" ht="24">
      <c r="B20" s="25" t="s">
        <v>34</v>
      </c>
      <c r="E20" s="25" t="s">
        <v>145</v>
      </c>
      <c r="I20" s="57">
        <v>0</v>
      </c>
      <c r="K20" s="59"/>
    </row>
    <row r="21" spans="2:11" ht="24">
      <c r="B21" s="25" t="s">
        <v>34</v>
      </c>
      <c r="E21" s="64" t="s">
        <v>146</v>
      </c>
      <c r="I21" s="57">
        <v>237761.06</v>
      </c>
      <c r="K21" s="59"/>
    </row>
    <row r="22" spans="2:14" ht="24">
      <c r="B22" s="25" t="s">
        <v>35</v>
      </c>
      <c r="I22" s="57">
        <v>12395.61</v>
      </c>
      <c r="N22" s="57"/>
    </row>
    <row r="23" spans="2:14" ht="24">
      <c r="B23" s="25" t="s">
        <v>36</v>
      </c>
      <c r="I23" s="57">
        <v>116320.5</v>
      </c>
      <c r="L23" s="59"/>
      <c r="N23" s="57"/>
    </row>
    <row r="24" spans="2:14" ht="24">
      <c r="B24" s="25" t="s">
        <v>37</v>
      </c>
      <c r="I24" s="57">
        <v>300230.88</v>
      </c>
      <c r="K24" s="59"/>
      <c r="N24" s="57"/>
    </row>
    <row r="25" spans="2:14" ht="24">
      <c r="B25" s="25" t="s">
        <v>38</v>
      </c>
      <c r="I25" s="57">
        <v>86749</v>
      </c>
      <c r="N25" s="57"/>
    </row>
    <row r="26" spans="2:14" ht="24">
      <c r="B26" s="25" t="s">
        <v>39</v>
      </c>
      <c r="I26" s="57">
        <v>15868.32</v>
      </c>
      <c r="N26" s="57"/>
    </row>
    <row r="27" spans="2:14" ht="24">
      <c r="B27" s="25" t="s">
        <v>45</v>
      </c>
      <c r="I27" s="57">
        <v>23758.89</v>
      </c>
      <c r="N27" s="57"/>
    </row>
    <row r="28" spans="2:14" ht="24">
      <c r="B28" s="25" t="s">
        <v>43</v>
      </c>
      <c r="I28" s="57">
        <v>0</v>
      </c>
      <c r="N28" s="57"/>
    </row>
    <row r="29" spans="2:14" ht="24">
      <c r="B29" s="25" t="s">
        <v>133</v>
      </c>
      <c r="I29" s="57">
        <v>20</v>
      </c>
      <c r="N29" s="57"/>
    </row>
    <row r="30" spans="2:14" ht="24">
      <c r="B30" s="25" t="s">
        <v>271</v>
      </c>
      <c r="I30" s="57">
        <v>0</v>
      </c>
      <c r="N30" s="101"/>
    </row>
    <row r="31" spans="2:14" ht="24">
      <c r="B31" s="25" t="s">
        <v>299</v>
      </c>
      <c r="I31" s="57">
        <v>0</v>
      </c>
      <c r="N31" s="101"/>
    </row>
    <row r="32" spans="2:9" ht="24">
      <c r="B32" s="25" t="s">
        <v>269</v>
      </c>
      <c r="I32" s="57">
        <v>176640</v>
      </c>
    </row>
    <row r="33" spans="2:9" ht="24">
      <c r="B33" s="25" t="s">
        <v>215</v>
      </c>
      <c r="I33" s="57">
        <v>0</v>
      </c>
    </row>
    <row r="34" spans="2:9" ht="24">
      <c r="B34" s="25" t="s">
        <v>312</v>
      </c>
      <c r="I34" s="57">
        <v>0</v>
      </c>
    </row>
    <row r="35" spans="6:9" ht="24.75" thickBot="1">
      <c r="F35" s="38" t="s">
        <v>24</v>
      </c>
      <c r="G35" s="38"/>
      <c r="H35" s="38"/>
      <c r="I35" s="188">
        <f>SUM(I6:I34)</f>
        <v>1013317.0399999999</v>
      </c>
    </row>
    <row r="36" ht="24.75" thickTop="1"/>
    <row r="37" spans="1:10" ht="24">
      <c r="A37" s="230" t="s">
        <v>100</v>
      </c>
      <c r="B37" s="230"/>
      <c r="C37" s="230"/>
      <c r="D37" s="230"/>
      <c r="E37" s="230"/>
      <c r="F37" s="230"/>
      <c r="G37" s="230"/>
      <c r="H37" s="230"/>
      <c r="I37" s="230"/>
      <c r="J37" s="39"/>
    </row>
    <row r="38" spans="1:10" ht="24">
      <c r="A38" s="230" t="s">
        <v>246</v>
      </c>
      <c r="B38" s="230"/>
      <c r="C38" s="230"/>
      <c r="D38" s="230"/>
      <c r="E38" s="230"/>
      <c r="F38" s="230"/>
      <c r="G38" s="230"/>
      <c r="H38" s="230"/>
      <c r="I38" s="230"/>
      <c r="J38" s="39"/>
    </row>
    <row r="39" spans="1:10" ht="24">
      <c r="A39" s="230" t="s">
        <v>352</v>
      </c>
      <c r="B39" s="230"/>
      <c r="C39" s="230"/>
      <c r="D39" s="230"/>
      <c r="E39" s="230"/>
      <c r="F39" s="230"/>
      <c r="G39" s="230"/>
      <c r="H39" s="230"/>
      <c r="I39" s="230"/>
      <c r="J39" s="39"/>
    </row>
    <row r="40" spans="1:10" ht="12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</row>
    <row r="41" ht="24">
      <c r="A41" s="58" t="s">
        <v>99</v>
      </c>
    </row>
    <row r="42" spans="1:9" ht="24">
      <c r="A42" s="58"/>
      <c r="B42" s="25" t="s">
        <v>134</v>
      </c>
      <c r="I42" s="57">
        <v>0</v>
      </c>
    </row>
    <row r="43" spans="2:15" ht="24">
      <c r="B43" s="25" t="s">
        <v>26</v>
      </c>
      <c r="I43" s="57">
        <v>2236.12</v>
      </c>
      <c r="O43" s="25" t="s">
        <v>97</v>
      </c>
    </row>
    <row r="44" ht="24">
      <c r="B44" s="25" t="s">
        <v>61</v>
      </c>
    </row>
    <row r="45" spans="2:9" ht="24">
      <c r="B45" s="25" t="s">
        <v>305</v>
      </c>
      <c r="I45" s="57">
        <v>0</v>
      </c>
    </row>
    <row r="46" spans="2:12" ht="24">
      <c r="B46" s="25" t="s">
        <v>337</v>
      </c>
      <c r="I46" s="57">
        <v>0</v>
      </c>
      <c r="L46" s="25" t="s">
        <v>139</v>
      </c>
    </row>
    <row r="47" spans="2:9" ht="24">
      <c r="B47" s="25" t="s">
        <v>63</v>
      </c>
      <c r="I47" s="57">
        <v>35.34</v>
      </c>
    </row>
    <row r="48" spans="2:9" ht="24">
      <c r="B48" s="25" t="s">
        <v>127</v>
      </c>
      <c r="I48" s="57">
        <v>0</v>
      </c>
    </row>
    <row r="49" spans="2:9" ht="24">
      <c r="B49" s="25" t="s">
        <v>72</v>
      </c>
      <c r="I49" s="57">
        <v>0</v>
      </c>
    </row>
    <row r="50" spans="2:9" ht="24">
      <c r="B50" s="25" t="s">
        <v>27</v>
      </c>
      <c r="I50" s="57">
        <v>0</v>
      </c>
    </row>
    <row r="51" spans="2:9" ht="24">
      <c r="B51" s="25" t="s">
        <v>128</v>
      </c>
      <c r="I51" s="57">
        <v>0</v>
      </c>
    </row>
    <row r="52" spans="2:9" ht="24">
      <c r="B52" s="25" t="s">
        <v>353</v>
      </c>
      <c r="I52" s="57">
        <v>40000</v>
      </c>
    </row>
    <row r="53" spans="5:9" s="38" customFormat="1" ht="24.75" thickBot="1">
      <c r="E53" s="38" t="s">
        <v>24</v>
      </c>
      <c r="I53" s="188">
        <f>SUM(I43:I52)</f>
        <v>42271.46</v>
      </c>
    </row>
    <row r="54" ht="24.75" thickTop="1"/>
    <row r="55" spans="1:10" ht="24">
      <c r="A55" s="230" t="s">
        <v>100</v>
      </c>
      <c r="B55" s="230"/>
      <c r="C55" s="230"/>
      <c r="D55" s="230"/>
      <c r="E55" s="230"/>
      <c r="F55" s="230"/>
      <c r="G55" s="230"/>
      <c r="H55" s="230"/>
      <c r="I55" s="230"/>
      <c r="J55" s="39"/>
    </row>
    <row r="56" spans="1:10" ht="24">
      <c r="A56" s="230" t="s">
        <v>247</v>
      </c>
      <c r="B56" s="230"/>
      <c r="C56" s="230"/>
      <c r="D56" s="230"/>
      <c r="E56" s="230"/>
      <c r="F56" s="230"/>
      <c r="G56" s="230"/>
      <c r="H56" s="230"/>
      <c r="I56" s="230"/>
      <c r="J56" s="39"/>
    </row>
    <row r="57" spans="1:10" ht="24">
      <c r="A57" s="230" t="s">
        <v>352</v>
      </c>
      <c r="B57" s="230"/>
      <c r="C57" s="230"/>
      <c r="D57" s="230"/>
      <c r="E57" s="230"/>
      <c r="F57" s="230"/>
      <c r="G57" s="230"/>
      <c r="H57" s="230"/>
      <c r="I57" s="230"/>
      <c r="J57" s="39"/>
    </row>
    <row r="58" spans="1:10" ht="12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ht="24">
      <c r="A59" s="58" t="s">
        <v>98</v>
      </c>
    </row>
    <row r="60" spans="1:9" ht="24">
      <c r="A60" s="58"/>
      <c r="B60" s="25" t="s">
        <v>134</v>
      </c>
      <c r="I60" s="57">
        <v>0</v>
      </c>
    </row>
    <row r="61" spans="2:9" ht="24">
      <c r="B61" s="25" t="s">
        <v>72</v>
      </c>
      <c r="I61" s="57">
        <v>0</v>
      </c>
    </row>
    <row r="62" spans="2:9" ht="24">
      <c r="B62" s="25" t="s">
        <v>75</v>
      </c>
      <c r="I62" s="57">
        <v>1443.69</v>
      </c>
    </row>
    <row r="63" spans="2:9" ht="24">
      <c r="B63" s="25" t="s">
        <v>61</v>
      </c>
      <c r="I63" s="57">
        <v>125250</v>
      </c>
    </row>
    <row r="64" spans="2:9" ht="24">
      <c r="B64" s="25" t="s">
        <v>305</v>
      </c>
      <c r="I64" s="57">
        <v>0</v>
      </c>
    </row>
    <row r="65" spans="2:9" ht="24">
      <c r="B65" s="25" t="s">
        <v>337</v>
      </c>
      <c r="I65" s="57">
        <v>0</v>
      </c>
    </row>
    <row r="66" spans="2:9" ht="24">
      <c r="B66" s="25" t="s">
        <v>130</v>
      </c>
      <c r="I66" s="57">
        <v>0</v>
      </c>
    </row>
    <row r="67" spans="2:9" ht="24">
      <c r="B67" s="25" t="s">
        <v>96</v>
      </c>
      <c r="I67" s="57">
        <v>0</v>
      </c>
    </row>
    <row r="68" spans="2:9" ht="24">
      <c r="B68" s="25" t="s">
        <v>183</v>
      </c>
      <c r="I68" s="57">
        <v>0</v>
      </c>
    </row>
    <row r="69" spans="2:9" ht="24">
      <c r="B69" s="25" t="s">
        <v>184</v>
      </c>
      <c r="I69" s="57">
        <v>0</v>
      </c>
    </row>
    <row r="70" spans="5:11" ht="24.75" thickBot="1">
      <c r="E70" s="38" t="s">
        <v>24</v>
      </c>
      <c r="I70" s="188">
        <f>SUM(I60:I69)</f>
        <v>126693.69</v>
      </c>
      <c r="K70" s="59"/>
    </row>
    <row r="71" ht="24.75" thickTop="1"/>
  </sheetData>
  <sheetProtection/>
  <mergeCells count="9">
    <mergeCell ref="A55:I55"/>
    <mergeCell ref="A56:I56"/>
    <mergeCell ref="A57:I57"/>
    <mergeCell ref="A38:I38"/>
    <mergeCell ref="A39:I39"/>
    <mergeCell ref="A1:I1"/>
    <mergeCell ref="A2:I2"/>
    <mergeCell ref="A3:I3"/>
    <mergeCell ref="A37:I37"/>
  </mergeCells>
  <printOptions/>
  <pageMargins left="0.25" right="0.31" top="0.7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7"/>
  <sheetViews>
    <sheetView zoomScale="140" zoomScaleNormal="140" zoomScalePageLayoutView="0" workbookViewId="0" topLeftCell="A31">
      <selection activeCell="D31" sqref="D31"/>
    </sheetView>
  </sheetViews>
  <sheetFormatPr defaultColWidth="9.140625" defaultRowHeight="23.25"/>
  <cols>
    <col min="1" max="1" width="49.7109375" style="0" customWidth="1"/>
    <col min="2" max="2" width="11.8515625" style="0" customWidth="1"/>
    <col min="3" max="3" width="17.8515625" style="136" customWidth="1"/>
    <col min="4" max="4" width="18.7109375" style="136" customWidth="1"/>
    <col min="5" max="5" width="4.7109375" style="0" customWidth="1"/>
    <col min="8" max="8" width="22.140625" style="0" customWidth="1"/>
  </cols>
  <sheetData>
    <row r="1" spans="1:5" ht="19.5" customHeight="1">
      <c r="A1" s="231" t="s">
        <v>100</v>
      </c>
      <c r="B1" s="231"/>
      <c r="C1" s="231"/>
      <c r="D1" s="231"/>
      <c r="E1" s="231"/>
    </row>
    <row r="2" spans="1:5" ht="19.5" customHeight="1">
      <c r="A2" s="231" t="s">
        <v>73</v>
      </c>
      <c r="B2" s="231"/>
      <c r="C2" s="231"/>
      <c r="D2" s="231"/>
      <c r="E2" s="231"/>
    </row>
    <row r="3" spans="1:5" ht="19.5" customHeight="1">
      <c r="A3" s="231" t="s">
        <v>354</v>
      </c>
      <c r="B3" s="231"/>
      <c r="C3" s="231"/>
      <c r="D3" s="231"/>
      <c r="E3" s="231"/>
    </row>
    <row r="4" spans="1:5" s="192" customFormat="1" ht="19.5" customHeight="1">
      <c r="A4" s="190" t="s">
        <v>0</v>
      </c>
      <c r="B4" s="190" t="s">
        <v>8</v>
      </c>
      <c r="C4" s="191" t="s">
        <v>20</v>
      </c>
      <c r="D4" s="191" t="s">
        <v>21</v>
      </c>
      <c r="E4" s="135"/>
    </row>
    <row r="5" spans="1:5" s="189" customFormat="1" ht="19.5" customHeight="1">
      <c r="A5" s="193" t="s">
        <v>134</v>
      </c>
      <c r="B5" s="194">
        <v>10</v>
      </c>
      <c r="C5" s="195">
        <v>36589</v>
      </c>
      <c r="D5" s="195"/>
      <c r="E5" s="25"/>
    </row>
    <row r="6" spans="1:8" s="189" customFormat="1" ht="19.5" customHeight="1">
      <c r="A6" s="193" t="s">
        <v>272</v>
      </c>
      <c r="B6" s="194">
        <v>21</v>
      </c>
      <c r="C6" s="195">
        <v>612080.12</v>
      </c>
      <c r="D6" s="195"/>
      <c r="E6" s="25"/>
      <c r="H6" s="196"/>
    </row>
    <row r="7" spans="1:8" s="189" customFormat="1" ht="19.5" customHeight="1">
      <c r="A7" s="193" t="s">
        <v>273</v>
      </c>
      <c r="B7" s="194">
        <v>22</v>
      </c>
      <c r="C7" s="195">
        <v>22264166.65</v>
      </c>
      <c r="D7" s="195"/>
      <c r="E7" s="25"/>
      <c r="H7" s="196"/>
    </row>
    <row r="8" spans="1:8" s="189" customFormat="1" ht="19.5" customHeight="1">
      <c r="A8" s="193" t="s">
        <v>274</v>
      </c>
      <c r="B8" s="194"/>
      <c r="C8" s="197">
        <v>0</v>
      </c>
      <c r="D8" s="195"/>
      <c r="E8" s="25"/>
      <c r="H8" s="57"/>
    </row>
    <row r="9" spans="1:8" s="189" customFormat="1" ht="19.5" customHeight="1">
      <c r="A9" s="193" t="s">
        <v>275</v>
      </c>
      <c r="B9" s="194"/>
      <c r="C9" s="197">
        <f>40297.74-5940-12000</f>
        <v>22357.739999999998</v>
      </c>
      <c r="D9" s="195"/>
      <c r="E9" s="25"/>
      <c r="H9" s="57"/>
    </row>
    <row r="10" spans="1:8" s="189" customFormat="1" ht="19.5" customHeight="1">
      <c r="A10" s="193" t="s">
        <v>93</v>
      </c>
      <c r="B10" s="194">
        <v>0</v>
      </c>
      <c r="C10" s="197">
        <f>86136+439135+41927+6227+39827+6227+50427+19587+97727</f>
        <v>787220</v>
      </c>
      <c r="D10" s="195"/>
      <c r="E10" s="25"/>
      <c r="H10" s="57"/>
    </row>
    <row r="11" spans="1:8" s="189" customFormat="1" ht="19.5" customHeight="1">
      <c r="A11" s="193" t="s">
        <v>276</v>
      </c>
      <c r="B11" s="194">
        <v>100</v>
      </c>
      <c r="C11" s="197">
        <f>573220+580590+563940+514080+514080+514080+543046+576050+538565</f>
        <v>4917651</v>
      </c>
      <c r="D11" s="195"/>
      <c r="E11" s="25"/>
      <c r="H11" s="57"/>
    </row>
    <row r="12" spans="1:8" s="189" customFormat="1" ht="19.5" customHeight="1">
      <c r="A12" s="193" t="s">
        <v>277</v>
      </c>
      <c r="B12" s="194">
        <v>130</v>
      </c>
      <c r="C12" s="197">
        <f>124110+124970+124540+124540+124540+124540+129206+131540+131540</f>
        <v>1139526</v>
      </c>
      <c r="D12" s="195"/>
      <c r="E12" s="25"/>
      <c r="H12" s="57"/>
    </row>
    <row r="13" spans="1:8" s="189" customFormat="1" ht="19.5" customHeight="1">
      <c r="A13" s="193" t="s">
        <v>278</v>
      </c>
      <c r="B13" s="194">
        <v>200</v>
      </c>
      <c r="C13" s="197">
        <f>25300+15400+11700+7700+9550+15400+18950+14700</f>
        <v>118700</v>
      </c>
      <c r="D13" s="195"/>
      <c r="E13" s="25"/>
      <c r="H13" s="57"/>
    </row>
    <row r="14" spans="1:8" s="189" customFormat="1" ht="19.5" customHeight="1">
      <c r="A14" s="193" t="s">
        <v>279</v>
      </c>
      <c r="B14" s="194">
        <v>250</v>
      </c>
      <c r="C14" s="197">
        <f>48980+7800+10510.51+13800-800+53564.1+47200+124036.53+33601.3+9000+82612.7+146464.2+31197.4+12700</f>
        <v>620666.7400000001</v>
      </c>
      <c r="D14" s="195"/>
      <c r="E14" s="25"/>
      <c r="H14" s="198"/>
    </row>
    <row r="15" spans="1:8" s="189" customFormat="1" ht="19.5" customHeight="1">
      <c r="A15" s="193" t="s">
        <v>280</v>
      </c>
      <c r="B15" s="194">
        <v>270</v>
      </c>
      <c r="C15" s="197">
        <f>150210.18+168155.28+107286+166682.04+16080+289903.98-100+6876+118714.08</f>
        <v>1023807.5599999999</v>
      </c>
      <c r="D15" s="195"/>
      <c r="E15" s="25"/>
      <c r="H15" s="198"/>
    </row>
    <row r="16" spans="1:8" s="189" customFormat="1" ht="19.5" customHeight="1">
      <c r="A16" s="193" t="s">
        <v>281</v>
      </c>
      <c r="B16" s="194">
        <v>300</v>
      </c>
      <c r="C16" s="197">
        <f>22080.65+25362.28+22766.68+22972.53+20133.97+23801.58+22890.4+31713.04</f>
        <v>191721.13</v>
      </c>
      <c r="D16" s="195"/>
      <c r="E16" s="25"/>
      <c r="H16" s="198"/>
    </row>
    <row r="17" spans="1:8" s="189" customFormat="1" ht="19.5" customHeight="1">
      <c r="A17" s="193" t="s">
        <v>282</v>
      </c>
      <c r="B17" s="194">
        <v>400</v>
      </c>
      <c r="C17" s="197">
        <f>436000+103700+431200+400000</f>
        <v>1370900</v>
      </c>
      <c r="D17" s="195"/>
      <c r="E17" s="25"/>
      <c r="H17" s="198"/>
    </row>
    <row r="18" spans="1:8" s="189" customFormat="1" ht="19.5" customHeight="1">
      <c r="A18" s="193" t="s">
        <v>283</v>
      </c>
      <c r="B18" s="194">
        <v>450</v>
      </c>
      <c r="C18" s="197">
        <v>0</v>
      </c>
      <c r="D18" s="195"/>
      <c r="E18" s="25"/>
      <c r="H18" s="199"/>
    </row>
    <row r="19" spans="1:8" s="189" customFormat="1" ht="19.5" customHeight="1">
      <c r="A19" s="193" t="s">
        <v>284</v>
      </c>
      <c r="B19" s="194">
        <v>500</v>
      </c>
      <c r="C19" s="197">
        <v>0</v>
      </c>
      <c r="D19" s="195"/>
      <c r="E19" s="25"/>
      <c r="H19" s="198"/>
    </row>
    <row r="20" spans="1:8" s="189" customFormat="1" ht="19.5" customHeight="1">
      <c r="A20" s="193" t="s">
        <v>285</v>
      </c>
      <c r="B20" s="194"/>
      <c r="C20" s="197">
        <v>0</v>
      </c>
      <c r="D20" s="195"/>
      <c r="E20" s="25"/>
      <c r="H20" s="200"/>
    </row>
    <row r="21" spans="1:5" s="189" customFormat="1" ht="19.5" customHeight="1">
      <c r="A21" s="193" t="s">
        <v>311</v>
      </c>
      <c r="B21" s="194"/>
      <c r="C21" s="197">
        <v>0</v>
      </c>
      <c r="D21" s="195"/>
      <c r="E21" s="25"/>
    </row>
    <row r="22" spans="1:5" s="189" customFormat="1" ht="19.5" customHeight="1">
      <c r="A22" s="193" t="s">
        <v>338</v>
      </c>
      <c r="B22" s="194"/>
      <c r="C22" s="197">
        <v>0</v>
      </c>
      <c r="D22" s="195"/>
      <c r="E22" s="25"/>
    </row>
    <row r="23" spans="1:5" s="189" customFormat="1" ht="19.5" customHeight="1">
      <c r="A23" s="193" t="s">
        <v>286</v>
      </c>
      <c r="B23" s="194">
        <v>90</v>
      </c>
      <c r="C23" s="197">
        <v>9500</v>
      </c>
      <c r="D23" s="195"/>
      <c r="E23" s="25"/>
    </row>
    <row r="24" spans="1:5" s="189" customFormat="1" ht="19.5" customHeight="1">
      <c r="A24" s="193" t="s">
        <v>287</v>
      </c>
      <c r="B24" s="194"/>
      <c r="C24" s="197">
        <v>0</v>
      </c>
      <c r="D24" s="195"/>
      <c r="E24" s="25"/>
    </row>
    <row r="25" spans="1:5" s="189" customFormat="1" ht="19.5" customHeight="1">
      <c r="A25" s="193" t="s">
        <v>288</v>
      </c>
      <c r="B25" s="194"/>
      <c r="C25" s="197">
        <v>900000</v>
      </c>
      <c r="D25" s="195"/>
      <c r="E25" s="25"/>
    </row>
    <row r="26" spans="1:5" s="189" customFormat="1" ht="19.5" customHeight="1">
      <c r="A26" s="193" t="s">
        <v>297</v>
      </c>
      <c r="B26" s="194"/>
      <c r="C26" s="197">
        <f>365800+442500+384800+394400+392200+393000+392200+391500+393100</f>
        <v>3549500</v>
      </c>
      <c r="D26" s="195">
        <v>0</v>
      </c>
      <c r="E26" s="25"/>
    </row>
    <row r="27" spans="1:5" s="189" customFormat="1" ht="19.5" customHeight="1">
      <c r="A27" s="193" t="s">
        <v>289</v>
      </c>
      <c r="B27" s="194">
        <v>900</v>
      </c>
      <c r="C27" s="195"/>
      <c r="D27" s="195">
        <v>758638.14</v>
      </c>
      <c r="E27" s="25"/>
    </row>
    <row r="28" spans="1:5" s="189" customFormat="1" ht="19.5" customHeight="1">
      <c r="A28" s="193" t="s">
        <v>290</v>
      </c>
      <c r="B28" s="194"/>
      <c r="C28" s="195"/>
      <c r="D28" s="195">
        <v>16093821.55</v>
      </c>
      <c r="E28" s="25"/>
    </row>
    <row r="29" spans="1:5" s="189" customFormat="1" ht="19.5" customHeight="1">
      <c r="A29" s="193" t="s">
        <v>291</v>
      </c>
      <c r="B29" s="194"/>
      <c r="C29" s="195"/>
      <c r="D29" s="195">
        <v>1124330.44</v>
      </c>
      <c r="E29" s="25"/>
    </row>
    <row r="30" spans="1:5" s="189" customFormat="1" ht="19.5" customHeight="1">
      <c r="A30" s="193" t="s">
        <v>292</v>
      </c>
      <c r="B30" s="194">
        <v>700</v>
      </c>
      <c r="C30" s="195"/>
      <c r="D30" s="195">
        <f>7840613.95-252795-275472-122600+150+46.37</f>
        <v>7189943.32</v>
      </c>
      <c r="E30" s="25"/>
    </row>
    <row r="31" spans="1:5" s="189" customFormat="1" ht="19.5" customHeight="1">
      <c r="A31" s="193" t="s">
        <v>293</v>
      </c>
      <c r="B31" s="194" t="s">
        <v>97</v>
      </c>
      <c r="C31" s="195"/>
      <c r="D31" s="195">
        <v>12397652.49</v>
      </c>
      <c r="E31" s="25"/>
    </row>
    <row r="32" spans="1:5" s="189" customFormat="1" ht="19.5" customHeight="1" thickBot="1">
      <c r="A32" s="201"/>
      <c r="B32" s="202"/>
      <c r="C32" s="203">
        <f>SUM(C5:C29)</f>
        <v>37564385.94</v>
      </c>
      <c r="D32" s="203">
        <f>SUM(D26:D31)</f>
        <v>37564385.940000005</v>
      </c>
      <c r="E32" s="25"/>
    </row>
    <row r="33" spans="1:5" s="189" customFormat="1" ht="19.5" customHeight="1" thickTop="1">
      <c r="A33" s="204"/>
      <c r="B33" s="205"/>
      <c r="C33" s="196"/>
      <c r="D33" s="196"/>
      <c r="E33" s="25"/>
    </row>
    <row r="34" spans="1:6" s="25" customFormat="1" ht="24">
      <c r="A34" s="35" t="s">
        <v>316</v>
      </c>
      <c r="B34" s="35"/>
      <c r="C34" s="35"/>
      <c r="D34" s="35"/>
      <c r="E34" s="35"/>
      <c r="F34" s="35"/>
    </row>
    <row r="35" spans="1:6" s="25" customFormat="1" ht="24">
      <c r="A35" s="35" t="s">
        <v>348</v>
      </c>
      <c r="B35" s="35"/>
      <c r="C35" s="35"/>
      <c r="D35" s="35"/>
      <c r="E35" s="35"/>
      <c r="F35" s="35"/>
    </row>
    <row r="36" spans="1:6" s="25" customFormat="1" ht="24">
      <c r="A36" s="187" t="s">
        <v>347</v>
      </c>
      <c r="B36" s="35"/>
      <c r="C36" s="35"/>
      <c r="D36" s="35"/>
      <c r="E36" s="35"/>
      <c r="F36" s="35"/>
    </row>
    <row r="37" spans="3:4" s="160" customFormat="1" ht="18">
      <c r="C37" s="161"/>
      <c r="D37" s="161"/>
    </row>
  </sheetData>
  <sheetProtection/>
  <mergeCells count="3">
    <mergeCell ref="A1:E1"/>
    <mergeCell ref="A2:E2"/>
    <mergeCell ref="A3:E3"/>
  </mergeCells>
  <printOptions/>
  <pageMargins left="0.35" right="0.16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6"/>
  <sheetViews>
    <sheetView zoomScale="140" zoomScaleNormal="140" zoomScalePageLayoutView="0" workbookViewId="0" topLeftCell="A1">
      <selection activeCell="J75" sqref="J75"/>
    </sheetView>
  </sheetViews>
  <sheetFormatPr defaultColWidth="9.140625" defaultRowHeight="23.25"/>
  <cols>
    <col min="1" max="1" width="4.00390625" style="25" customWidth="1"/>
    <col min="2" max="2" width="3.00390625" style="25" customWidth="1"/>
    <col min="3" max="3" width="0.2890625" style="25" customWidth="1"/>
    <col min="4" max="4" width="14.140625" style="25" customWidth="1"/>
    <col min="5" max="5" width="34.57421875" style="25" customWidth="1"/>
    <col min="6" max="6" width="0.9921875" style="25" customWidth="1"/>
    <col min="7" max="7" width="16.140625" style="25" customWidth="1"/>
    <col min="8" max="8" width="18.8515625" style="57" customWidth="1"/>
    <col min="9" max="9" width="4.28125" style="25" customWidth="1"/>
    <col min="10" max="10" width="17.8515625" style="25" customWidth="1"/>
    <col min="11" max="11" width="15.421875" style="25" customWidth="1"/>
    <col min="12" max="16384" width="9.140625" style="25" customWidth="1"/>
  </cols>
  <sheetData>
    <row r="1" spans="1:9" ht="24">
      <c r="A1" s="230" t="s">
        <v>251</v>
      </c>
      <c r="B1" s="230"/>
      <c r="C1" s="230"/>
      <c r="D1" s="230"/>
      <c r="E1" s="230"/>
      <c r="F1" s="230"/>
      <c r="G1" s="230"/>
      <c r="H1" s="230"/>
      <c r="I1" s="39"/>
    </row>
    <row r="2" spans="1:9" ht="24">
      <c r="A2" s="230" t="s">
        <v>248</v>
      </c>
      <c r="B2" s="230"/>
      <c r="C2" s="230"/>
      <c r="D2" s="230"/>
      <c r="E2" s="230"/>
      <c r="F2" s="230"/>
      <c r="G2" s="230"/>
      <c r="H2" s="230"/>
      <c r="I2" s="39"/>
    </row>
    <row r="3" spans="1:10" ht="24">
      <c r="A3" s="230" t="s">
        <v>343</v>
      </c>
      <c r="B3" s="230"/>
      <c r="C3" s="230"/>
      <c r="D3" s="230"/>
      <c r="E3" s="230"/>
      <c r="F3" s="230"/>
      <c r="G3" s="230"/>
      <c r="H3" s="230"/>
      <c r="I3" s="230"/>
      <c r="J3" s="39"/>
    </row>
    <row r="4" ht="12" customHeight="1"/>
    <row r="5" ht="24">
      <c r="A5" s="58" t="s">
        <v>25</v>
      </c>
    </row>
    <row r="6" spans="2:8" ht="24">
      <c r="B6" s="25" t="s">
        <v>134</v>
      </c>
      <c r="H6" s="57">
        <v>36589</v>
      </c>
    </row>
    <row r="7" spans="2:8" ht="24">
      <c r="B7" s="25" t="s">
        <v>136</v>
      </c>
      <c r="G7" s="25" t="s">
        <v>123</v>
      </c>
      <c r="H7" s="57">
        <v>7087984.51</v>
      </c>
    </row>
    <row r="8" spans="2:11" ht="24">
      <c r="B8" s="25" t="s">
        <v>137</v>
      </c>
      <c r="G8" s="25" t="s">
        <v>123</v>
      </c>
      <c r="H8" s="57">
        <v>224330.44</v>
      </c>
      <c r="K8" s="57">
        <v>7087984.51</v>
      </c>
    </row>
    <row r="9" spans="2:11" ht="24">
      <c r="B9" s="25" t="s">
        <v>259</v>
      </c>
      <c r="G9" s="25" t="s">
        <v>260</v>
      </c>
      <c r="H9" s="57">
        <v>10111074</v>
      </c>
      <c r="K9" s="57">
        <v>224330.44</v>
      </c>
    </row>
    <row r="10" spans="2:11" ht="24">
      <c r="B10" s="25" t="s">
        <v>124</v>
      </c>
      <c r="G10" s="25" t="s">
        <v>125</v>
      </c>
      <c r="H10" s="57">
        <v>4840777.7</v>
      </c>
      <c r="K10" s="57">
        <v>10111074</v>
      </c>
    </row>
    <row r="11" spans="2:11" ht="24">
      <c r="B11" s="25" t="s">
        <v>267</v>
      </c>
      <c r="G11" s="25" t="s">
        <v>125</v>
      </c>
      <c r="H11" s="57">
        <v>612080.12</v>
      </c>
      <c r="K11" s="57">
        <v>4840777.7</v>
      </c>
    </row>
    <row r="12" spans="5:11" ht="24.75" thickBot="1">
      <c r="E12" s="38" t="s">
        <v>24</v>
      </c>
      <c r="H12" s="188">
        <f>SUM(H6:H11)</f>
        <v>22912835.77</v>
      </c>
      <c r="J12" s="59"/>
      <c r="K12" s="222">
        <f>SUM(K8:K11)</f>
        <v>22264166.65</v>
      </c>
    </row>
    <row r="13" spans="5:10" ht="24.75" thickTop="1">
      <c r="E13" s="38"/>
      <c r="H13" s="3"/>
      <c r="J13" s="59"/>
    </row>
    <row r="14" spans="5:10" ht="24">
      <c r="E14" s="38"/>
      <c r="H14" s="3"/>
      <c r="J14" s="59"/>
    </row>
    <row r="15" spans="5:10" ht="24">
      <c r="E15" s="38"/>
      <c r="H15" s="3"/>
      <c r="J15" s="59"/>
    </row>
    <row r="16" spans="5:10" ht="24">
      <c r="E16" s="38"/>
      <c r="H16" s="3"/>
      <c r="J16" s="59"/>
    </row>
    <row r="17" spans="5:10" ht="24">
      <c r="E17" s="38"/>
      <c r="H17" s="3"/>
      <c r="J17" s="59"/>
    </row>
    <row r="18" spans="5:10" ht="24">
      <c r="E18" s="38"/>
      <c r="H18" s="3"/>
      <c r="J18" s="59"/>
    </row>
    <row r="19" spans="5:10" ht="24">
      <c r="E19" s="38"/>
      <c r="H19" s="3"/>
      <c r="J19" s="59"/>
    </row>
    <row r="20" spans="5:10" ht="24">
      <c r="E20" s="38"/>
      <c r="H20" s="3"/>
      <c r="J20" s="59"/>
    </row>
    <row r="21" spans="5:10" ht="24">
      <c r="E21" s="38"/>
      <c r="H21" s="3"/>
      <c r="J21" s="59"/>
    </row>
    <row r="22" spans="5:10" ht="24">
      <c r="E22" s="38"/>
      <c r="H22" s="3"/>
      <c r="J22" s="59"/>
    </row>
    <row r="23" spans="5:10" ht="24">
      <c r="E23" s="38"/>
      <c r="H23" s="3"/>
      <c r="J23" s="59"/>
    </row>
    <row r="24" spans="5:10" ht="24">
      <c r="E24" s="38"/>
      <c r="H24" s="3"/>
      <c r="J24" s="59"/>
    </row>
    <row r="25" spans="5:10" ht="24">
      <c r="E25" s="38"/>
      <c r="H25" s="3"/>
      <c r="J25" s="59"/>
    </row>
    <row r="26" spans="5:10" ht="24">
      <c r="E26" s="38"/>
      <c r="H26" s="3"/>
      <c r="J26" s="59"/>
    </row>
    <row r="27" spans="5:10" ht="24">
      <c r="E27" s="38"/>
      <c r="H27" s="3"/>
      <c r="J27" s="59"/>
    </row>
    <row r="28" spans="5:10" ht="24">
      <c r="E28" s="38"/>
      <c r="H28" s="3"/>
      <c r="J28" s="59"/>
    </row>
    <row r="29" spans="5:10" ht="24">
      <c r="E29" s="38"/>
      <c r="H29" s="3"/>
      <c r="J29" s="59"/>
    </row>
    <row r="30" spans="5:10" ht="24">
      <c r="E30" s="38"/>
      <c r="H30" s="3"/>
      <c r="J30" s="59"/>
    </row>
    <row r="31" spans="5:10" ht="24">
      <c r="E31" s="38"/>
      <c r="H31" s="3"/>
      <c r="J31" s="59"/>
    </row>
    <row r="32" spans="5:10" ht="24">
      <c r="E32" s="38"/>
      <c r="H32" s="3"/>
      <c r="J32" s="59"/>
    </row>
    <row r="33" spans="5:10" ht="24">
      <c r="E33" s="38"/>
      <c r="H33" s="3"/>
      <c r="J33" s="59"/>
    </row>
    <row r="34" spans="5:10" ht="24">
      <c r="E34" s="38"/>
      <c r="H34" s="3"/>
      <c r="J34" s="59"/>
    </row>
    <row r="35" spans="5:10" ht="24">
      <c r="E35" s="38"/>
      <c r="H35" s="3"/>
      <c r="J35" s="59"/>
    </row>
    <row r="36" ht="24">
      <c r="F36" s="25" t="s">
        <v>97</v>
      </c>
    </row>
    <row r="38" spans="1:8" ht="24">
      <c r="A38" s="230" t="s">
        <v>126</v>
      </c>
      <c r="B38" s="230"/>
      <c r="C38" s="230"/>
      <c r="D38" s="230"/>
      <c r="E38" s="230"/>
      <c r="F38" s="230"/>
      <c r="G38" s="230"/>
      <c r="H38" s="230"/>
    </row>
    <row r="39" spans="1:9" ht="24">
      <c r="A39" s="230" t="s">
        <v>249</v>
      </c>
      <c r="B39" s="230"/>
      <c r="C39" s="230"/>
      <c r="D39" s="230"/>
      <c r="E39" s="230"/>
      <c r="F39" s="230"/>
      <c r="G39" s="230"/>
      <c r="H39" s="230"/>
      <c r="I39" s="39"/>
    </row>
    <row r="40" spans="1:10" ht="24">
      <c r="A40" s="230" t="s">
        <v>343</v>
      </c>
      <c r="B40" s="230"/>
      <c r="C40" s="230"/>
      <c r="D40" s="230"/>
      <c r="E40" s="230"/>
      <c r="F40" s="230"/>
      <c r="G40" s="230"/>
      <c r="H40" s="230"/>
      <c r="I40" s="230"/>
      <c r="J40" s="39"/>
    </row>
    <row r="41" s="62" customFormat="1" ht="12" customHeight="1">
      <c r="H41" s="63"/>
    </row>
    <row r="42" spans="1:9" ht="24">
      <c r="A42" s="58" t="s">
        <v>252</v>
      </c>
      <c r="H42" s="25"/>
      <c r="I42" s="57"/>
    </row>
    <row r="43" spans="1:9" s="100" customFormat="1" ht="24">
      <c r="A43" s="25"/>
      <c r="B43" s="25" t="s">
        <v>26</v>
      </c>
      <c r="C43" s="25"/>
      <c r="D43" s="25"/>
      <c r="E43" s="25"/>
      <c r="F43" s="25"/>
      <c r="G43" s="25"/>
      <c r="H43" s="57">
        <v>2236.12</v>
      </c>
      <c r="I43" s="57"/>
    </row>
    <row r="44" spans="1:9" s="100" customFormat="1" ht="24">
      <c r="A44" s="25"/>
      <c r="B44" s="25" t="s">
        <v>61</v>
      </c>
      <c r="C44" s="25"/>
      <c r="D44" s="25"/>
      <c r="E44" s="25"/>
      <c r="F44" s="25"/>
      <c r="G44" s="25"/>
      <c r="H44" s="57">
        <f>851250-59250-78050-111200-54900-21400-125250</f>
        <v>401200</v>
      </c>
      <c r="I44" s="57"/>
    </row>
    <row r="45" spans="1:9" s="100" customFormat="1" ht="24">
      <c r="A45" s="25"/>
      <c r="B45" s="25" t="s">
        <v>305</v>
      </c>
      <c r="C45" s="25"/>
      <c r="D45" s="25"/>
      <c r="E45" s="25"/>
      <c r="F45" s="25"/>
      <c r="G45" s="25"/>
      <c r="H45" s="57">
        <v>0</v>
      </c>
      <c r="I45" s="57"/>
    </row>
    <row r="46" spans="1:9" s="100" customFormat="1" ht="24">
      <c r="A46" s="25"/>
      <c r="B46" s="25" t="s">
        <v>62</v>
      </c>
      <c r="C46" s="25"/>
      <c r="D46" s="25"/>
      <c r="E46" s="25"/>
      <c r="F46" s="25"/>
      <c r="G46" s="25"/>
      <c r="H46" s="57">
        <v>0</v>
      </c>
      <c r="I46" s="57"/>
    </row>
    <row r="47" spans="1:9" s="100" customFormat="1" ht="24">
      <c r="A47" s="25"/>
      <c r="B47" s="25" t="s">
        <v>63</v>
      </c>
      <c r="C47" s="25"/>
      <c r="D47" s="25"/>
      <c r="E47" s="25"/>
      <c r="F47" s="25"/>
      <c r="G47" s="25"/>
      <c r="H47" s="57">
        <f>394.92+639.78+520.8+362.88+123.3+35.34</f>
        <v>2077.02</v>
      </c>
      <c r="I47" s="57"/>
    </row>
    <row r="48" spans="1:9" s="100" customFormat="1" ht="24">
      <c r="A48" s="25"/>
      <c r="B48" s="25" t="s">
        <v>27</v>
      </c>
      <c r="C48" s="25"/>
      <c r="D48" s="25"/>
      <c r="E48" s="25"/>
      <c r="F48" s="25"/>
      <c r="G48" s="25"/>
      <c r="H48" s="57">
        <f>4925+100+100+225+200+100+100+125+225+275+100+550</f>
        <v>7025</v>
      </c>
      <c r="I48" s="57"/>
    </row>
    <row r="49" spans="1:9" s="100" customFormat="1" ht="24">
      <c r="A49" s="25"/>
      <c r="B49" s="16" t="s">
        <v>253</v>
      </c>
      <c r="C49" s="25"/>
      <c r="D49" s="25"/>
      <c r="E49" s="25"/>
      <c r="F49" s="25"/>
      <c r="G49" s="25"/>
      <c r="H49" s="57">
        <v>73300</v>
      </c>
      <c r="I49" s="57"/>
    </row>
    <row r="50" spans="1:9" s="100" customFormat="1" ht="24">
      <c r="A50" s="25"/>
      <c r="B50" s="16" t="s">
        <v>254</v>
      </c>
      <c r="C50" s="25"/>
      <c r="D50" s="25"/>
      <c r="E50" s="25"/>
      <c r="F50" s="25"/>
      <c r="G50" s="25"/>
      <c r="H50" s="57">
        <v>24000</v>
      </c>
      <c r="I50" s="57"/>
    </row>
    <row r="51" spans="1:9" s="100" customFormat="1" ht="24">
      <c r="A51" s="25"/>
      <c r="B51" s="16" t="s">
        <v>255</v>
      </c>
      <c r="C51" s="25"/>
      <c r="D51" s="25"/>
      <c r="E51" s="25"/>
      <c r="F51" s="25"/>
      <c r="G51" s="25"/>
      <c r="H51" s="57">
        <v>72100</v>
      </c>
      <c r="I51" s="57"/>
    </row>
    <row r="52" spans="1:9" s="100" customFormat="1" ht="24">
      <c r="A52" s="25"/>
      <c r="B52" s="16" t="s">
        <v>256</v>
      </c>
      <c r="C52" s="25"/>
      <c r="D52" s="25"/>
      <c r="E52" s="25"/>
      <c r="F52" s="25"/>
      <c r="G52" s="25"/>
      <c r="H52" s="57">
        <v>4500</v>
      </c>
      <c r="I52" s="57"/>
    </row>
    <row r="53" spans="1:9" s="100" customFormat="1" ht="24">
      <c r="A53" s="25"/>
      <c r="B53" s="16" t="s">
        <v>294</v>
      </c>
      <c r="C53" s="25"/>
      <c r="D53" s="25"/>
      <c r="E53" s="25"/>
      <c r="F53" s="25"/>
      <c r="G53" s="25"/>
      <c r="H53" s="57">
        <v>69200</v>
      </c>
      <c r="I53" s="57"/>
    </row>
    <row r="54" spans="1:9" s="100" customFormat="1" ht="24">
      <c r="A54" s="25"/>
      <c r="B54" s="16" t="s">
        <v>295</v>
      </c>
      <c r="C54" s="25"/>
      <c r="D54" s="25"/>
      <c r="E54" s="25"/>
      <c r="F54" s="25"/>
      <c r="G54" s="25"/>
      <c r="H54" s="57">
        <v>3000</v>
      </c>
      <c r="I54" s="57"/>
    </row>
    <row r="55" spans="1:9" s="100" customFormat="1" ht="24">
      <c r="A55" s="25"/>
      <c r="B55" s="16" t="s">
        <v>309</v>
      </c>
      <c r="C55" s="25"/>
      <c r="D55" s="25"/>
      <c r="E55" s="25"/>
      <c r="F55" s="25"/>
      <c r="G55" s="25"/>
      <c r="H55" s="57">
        <v>25000</v>
      </c>
      <c r="I55" s="57"/>
    </row>
    <row r="56" spans="1:9" s="100" customFormat="1" ht="24">
      <c r="A56" s="25"/>
      <c r="B56" s="16" t="s">
        <v>310</v>
      </c>
      <c r="C56" s="25"/>
      <c r="D56" s="25"/>
      <c r="E56" s="25"/>
      <c r="F56" s="25"/>
      <c r="G56" s="25"/>
      <c r="H56" s="57">
        <v>35000</v>
      </c>
      <c r="I56" s="57"/>
    </row>
    <row r="57" spans="1:9" s="100" customFormat="1" ht="24">
      <c r="A57" s="25"/>
      <c r="B57" s="16" t="s">
        <v>355</v>
      </c>
      <c r="C57" s="25"/>
      <c r="D57" s="25"/>
      <c r="E57" s="25"/>
      <c r="F57" s="25"/>
      <c r="G57" s="25"/>
      <c r="H57" s="57">
        <v>40000</v>
      </c>
      <c r="I57" s="57"/>
    </row>
    <row r="58" spans="1:9" s="100" customFormat="1" ht="24">
      <c r="A58" s="25"/>
      <c r="B58" s="16"/>
      <c r="C58" s="25"/>
      <c r="D58" s="25"/>
      <c r="E58" s="25"/>
      <c r="F58" s="25"/>
      <c r="G58" s="25"/>
      <c r="H58" s="57"/>
      <c r="I58" s="57"/>
    </row>
    <row r="59" spans="5:8" ht="24.75" thickBot="1">
      <c r="E59" s="38" t="s">
        <v>24</v>
      </c>
      <c r="H59" s="188">
        <f>SUM(H43:H58)</f>
        <v>758638.14</v>
      </c>
    </row>
    <row r="60" spans="5:8" ht="24.75" thickTop="1">
      <c r="E60" s="38"/>
      <c r="H60" s="3"/>
    </row>
    <row r="61" spans="5:8" ht="24">
      <c r="E61" s="38"/>
      <c r="H61" s="3"/>
    </row>
    <row r="62" spans="5:8" ht="24">
      <c r="E62" s="38"/>
      <c r="H62" s="3"/>
    </row>
    <row r="63" spans="5:8" ht="24">
      <c r="E63" s="38"/>
      <c r="H63" s="3"/>
    </row>
    <row r="64" spans="5:8" ht="24">
      <c r="E64" s="38"/>
      <c r="H64" s="3"/>
    </row>
    <row r="65" spans="5:8" ht="24">
      <c r="E65" s="38"/>
      <c r="H65" s="3"/>
    </row>
    <row r="66" spans="5:8" ht="24">
      <c r="E66" s="38"/>
      <c r="H66" s="3"/>
    </row>
    <row r="67" spans="5:8" ht="24">
      <c r="E67" s="38"/>
      <c r="H67" s="3"/>
    </row>
    <row r="68" spans="5:8" ht="24">
      <c r="E68" s="38"/>
      <c r="H68" s="3"/>
    </row>
    <row r="69" spans="5:8" ht="24">
      <c r="E69" s="38"/>
      <c r="H69" s="3"/>
    </row>
    <row r="70" spans="5:8" ht="24">
      <c r="E70" s="38"/>
      <c r="H70" s="3"/>
    </row>
    <row r="71" spans="5:8" ht="24">
      <c r="E71" s="38"/>
      <c r="H71" s="3"/>
    </row>
    <row r="72" spans="1:8" ht="24">
      <c r="A72" s="230" t="s">
        <v>122</v>
      </c>
      <c r="B72" s="230"/>
      <c r="C72" s="230"/>
      <c r="D72" s="230"/>
      <c r="E72" s="230"/>
      <c r="F72" s="230"/>
      <c r="G72" s="230"/>
      <c r="H72" s="230"/>
    </row>
    <row r="73" spans="1:9" ht="24">
      <c r="A73" s="230" t="s">
        <v>250</v>
      </c>
      <c r="B73" s="230"/>
      <c r="C73" s="230"/>
      <c r="D73" s="230"/>
      <c r="E73" s="230"/>
      <c r="F73" s="230"/>
      <c r="G73" s="230"/>
      <c r="H73" s="230"/>
      <c r="I73" s="39"/>
    </row>
    <row r="74" spans="1:10" ht="24">
      <c r="A74" s="230" t="s">
        <v>343</v>
      </c>
      <c r="B74" s="230"/>
      <c r="C74" s="230"/>
      <c r="D74" s="230"/>
      <c r="E74" s="230"/>
      <c r="F74" s="230"/>
      <c r="G74" s="230"/>
      <c r="H74" s="230"/>
      <c r="I74" s="230"/>
      <c r="J74" s="39"/>
    </row>
    <row r="75" spans="1:9" ht="24">
      <c r="A75" s="58" t="s">
        <v>74</v>
      </c>
      <c r="H75" s="25"/>
      <c r="I75" s="57"/>
    </row>
    <row r="76" spans="1:8" ht="24">
      <c r="A76" s="58"/>
      <c r="B76" s="25" t="s">
        <v>29</v>
      </c>
      <c r="H76" s="57">
        <f>150+7725+17000+10981+4928.12</f>
        <v>40784.12</v>
      </c>
    </row>
    <row r="77" spans="2:8" ht="24">
      <c r="B77" s="25" t="s">
        <v>30</v>
      </c>
      <c r="F77" s="25" t="s">
        <v>95</v>
      </c>
      <c r="H77" s="57">
        <f>6187.08+10023.22+8159.2+5685.12+1931.7+553.66</f>
        <v>32539.98</v>
      </c>
    </row>
    <row r="78" spans="2:8" ht="24">
      <c r="B78" s="25" t="s">
        <v>31</v>
      </c>
      <c r="H78" s="57">
        <f>600+1380+940+1040</f>
        <v>3960</v>
      </c>
    </row>
    <row r="79" spans="2:8" ht="24">
      <c r="B79" s="25" t="s">
        <v>40</v>
      </c>
      <c r="H79" s="57">
        <v>0</v>
      </c>
    </row>
    <row r="80" spans="2:8" ht="24">
      <c r="B80" s="25" t="s">
        <v>32</v>
      </c>
      <c r="H80" s="57">
        <f>124+602+250+940+1484+200+985+462</f>
        <v>5047</v>
      </c>
    </row>
    <row r="81" spans="2:8" ht="24">
      <c r="B81" s="25" t="s">
        <v>138</v>
      </c>
      <c r="H81" s="57">
        <f>5390+5420+5410+5420+5450+5470+5520+5510+5510</f>
        <v>49100</v>
      </c>
    </row>
    <row r="82" spans="2:8" ht="24">
      <c r="B82" s="25" t="s">
        <v>131</v>
      </c>
      <c r="H82" s="57">
        <f>20+40+10+10+20+20</f>
        <v>120</v>
      </c>
    </row>
    <row r="83" spans="2:8" ht="24">
      <c r="B83" s="25" t="s">
        <v>46</v>
      </c>
      <c r="H83" s="57">
        <f>825+300+1650</f>
        <v>2775</v>
      </c>
    </row>
    <row r="84" spans="2:8" ht="24">
      <c r="B84" s="25" t="s">
        <v>77</v>
      </c>
      <c r="H84" s="57">
        <v>0</v>
      </c>
    </row>
    <row r="85" spans="2:8" ht="24">
      <c r="B85" s="25" t="s">
        <v>33</v>
      </c>
      <c r="H85" s="57">
        <v>0</v>
      </c>
    </row>
    <row r="86" spans="2:8" ht="24">
      <c r="B86" s="25" t="s">
        <v>41</v>
      </c>
      <c r="H86" s="57">
        <f>1100+3700+900</f>
        <v>5700</v>
      </c>
    </row>
    <row r="87" spans="2:8" ht="24">
      <c r="B87" s="25" t="s">
        <v>132</v>
      </c>
      <c r="H87" s="57">
        <v>0</v>
      </c>
    </row>
    <row r="88" spans="2:8" ht="24">
      <c r="B88" s="25" t="s">
        <v>268</v>
      </c>
      <c r="H88" s="57">
        <f>19928.01+12594.23</f>
        <v>32522.239999999998</v>
      </c>
    </row>
    <row r="89" spans="2:8" ht="24">
      <c r="B89" s="25" t="s">
        <v>42</v>
      </c>
      <c r="H89" s="57">
        <f>23929+26896+29051+33017+34535+34355+33991+32050+31079</f>
        <v>278903</v>
      </c>
    </row>
    <row r="90" spans="2:11" ht="24">
      <c r="B90" s="25" t="s">
        <v>94</v>
      </c>
      <c r="H90" s="57">
        <f>470+5490+1410+20+1460+960+20</f>
        <v>9830</v>
      </c>
      <c r="K90" s="25" t="s">
        <v>97</v>
      </c>
    </row>
    <row r="91" spans="2:11" ht="24">
      <c r="B91" s="25" t="s">
        <v>34</v>
      </c>
      <c r="E91" s="25" t="s">
        <v>145</v>
      </c>
      <c r="H91" s="57">
        <f>2131245.93+1452040.48</f>
        <v>3583286.41</v>
      </c>
      <c r="K91" s="59"/>
    </row>
    <row r="92" spans="2:11" ht="24">
      <c r="B92" s="25" t="s">
        <v>34</v>
      </c>
      <c r="E92" s="64" t="s">
        <v>146</v>
      </c>
      <c r="H92" s="57">
        <f>170231.09+54656.71+112453.19+144801.2+183729.39+76300.59+178142.79+237761.06</f>
        <v>1158076.02</v>
      </c>
      <c r="K92" s="59"/>
    </row>
    <row r="93" spans="2:8" ht="24">
      <c r="B93" s="25" t="s">
        <v>35</v>
      </c>
      <c r="H93" s="57">
        <f>8359.29+7563.22+6039.54+8461.87+4865.36+5257.39+12395.61</f>
        <v>52942.280000000006</v>
      </c>
    </row>
    <row r="94" spans="2:12" ht="24">
      <c r="B94" s="25" t="s">
        <v>36</v>
      </c>
      <c r="H94" s="57">
        <f>57945.42+47070.55+54535.04+77963.39+51340.15+63806.51+78032.05+116320.5</f>
        <v>547013.6100000001</v>
      </c>
      <c r="L94" s="59"/>
    </row>
    <row r="95" spans="2:11" ht="24">
      <c r="B95" s="25" t="s">
        <v>37</v>
      </c>
      <c r="H95" s="57">
        <f>161615.79+116060.25+127005.93+161940.47+128209.46+150248.3+176424.87+300230.88</f>
        <v>1321735.95</v>
      </c>
      <c r="K95" s="59"/>
    </row>
    <row r="96" spans="2:10" ht="24">
      <c r="B96" s="25" t="s">
        <v>44</v>
      </c>
      <c r="H96" s="57">
        <v>0</v>
      </c>
      <c r="J96" s="59"/>
    </row>
    <row r="97" spans="2:10" ht="24">
      <c r="B97" s="25" t="s">
        <v>45</v>
      </c>
      <c r="H97" s="57">
        <f>5151.13+11019.5+23758.89</f>
        <v>39929.520000000004</v>
      </c>
      <c r="J97" s="59"/>
    </row>
    <row r="98" spans="2:8" ht="24">
      <c r="B98" s="25" t="s">
        <v>39</v>
      </c>
      <c r="H98" s="57">
        <f>5472.1+5982.32</f>
        <v>11454.42</v>
      </c>
    </row>
    <row r="99" spans="2:8" ht="24">
      <c r="B99" s="25" t="s">
        <v>38</v>
      </c>
      <c r="H99" s="57">
        <f>21523+32544+10514+30107+33467+18752+56184+40451</f>
        <v>243542</v>
      </c>
    </row>
    <row r="100" spans="2:8" ht="24">
      <c r="B100" s="25" t="s">
        <v>329</v>
      </c>
      <c r="H100" s="57">
        <f>3378679+3224538+1894703+176640</f>
        <v>8674560</v>
      </c>
    </row>
    <row r="101" spans="2:8" ht="24">
      <c r="B101" s="25" t="s">
        <v>296</v>
      </c>
      <c r="H101" s="57">
        <v>0</v>
      </c>
    </row>
    <row r="102" spans="2:8" ht="24">
      <c r="B102" s="25" t="s">
        <v>324</v>
      </c>
      <c r="H102" s="57">
        <v>0</v>
      </c>
    </row>
    <row r="103" spans="2:8" ht="24">
      <c r="B103" s="25" t="s">
        <v>315</v>
      </c>
      <c r="H103" s="57">
        <v>0</v>
      </c>
    </row>
    <row r="104" spans="2:8" ht="24">
      <c r="B104" s="25" t="s">
        <v>300</v>
      </c>
      <c r="H104" s="57">
        <v>0</v>
      </c>
    </row>
    <row r="105" spans="6:8" s="38" customFormat="1" ht="24.75" thickBot="1">
      <c r="F105" s="38" t="s">
        <v>24</v>
      </c>
      <c r="H105" s="188">
        <f>SUM(H76+H77+H78+H80+H81+H82+H83+H86+H88+H89+H90+H91+H92+H93+H94+H95+H97+H98++H99+H100)</f>
        <v>16093821.55</v>
      </c>
    </row>
    <row r="106" s="38" customFormat="1" ht="24.75" thickTop="1">
      <c r="H106" s="3"/>
    </row>
    <row r="107" s="162" customFormat="1" ht="18.75">
      <c r="H107" s="163"/>
    </row>
    <row r="108" s="162" customFormat="1" ht="18.75">
      <c r="H108" s="163"/>
    </row>
    <row r="113" s="62" customFormat="1" ht="24">
      <c r="H113" s="63"/>
    </row>
    <row r="114" s="62" customFormat="1" ht="24">
      <c r="H114" s="63"/>
    </row>
    <row r="115" s="62" customFormat="1" ht="24">
      <c r="H115" s="63"/>
    </row>
    <row r="116" s="62" customFormat="1" ht="24">
      <c r="H116" s="63"/>
    </row>
  </sheetData>
  <sheetProtection/>
  <mergeCells count="9">
    <mergeCell ref="A72:H72"/>
    <mergeCell ref="A74:I74"/>
    <mergeCell ref="A1:H1"/>
    <mergeCell ref="A2:H2"/>
    <mergeCell ref="A73:H73"/>
    <mergeCell ref="A38:H38"/>
    <mergeCell ref="A39:H39"/>
    <mergeCell ref="A40:I40"/>
    <mergeCell ref="A3:I3"/>
  </mergeCells>
  <printOptions/>
  <pageMargins left="0.16" right="0.12" top="0.55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31">
      <selection activeCell="D14" sqref="D14"/>
    </sheetView>
  </sheetViews>
  <sheetFormatPr defaultColWidth="9.140625" defaultRowHeight="23.25"/>
  <cols>
    <col min="1" max="1" width="10.00390625" style="25" customWidth="1"/>
    <col min="2" max="2" width="15.00390625" style="25" customWidth="1"/>
    <col min="3" max="3" width="23.421875" style="25" customWidth="1"/>
    <col min="4" max="4" width="30.8515625" style="25" customWidth="1"/>
    <col min="5" max="5" width="17.00390625" style="25" customWidth="1"/>
    <col min="6" max="6" width="11.7109375" style="25" customWidth="1"/>
    <col min="7" max="16384" width="9.140625" style="25" customWidth="1"/>
  </cols>
  <sheetData>
    <row r="1" spans="1:12" ht="24">
      <c r="A1" s="230" t="s">
        <v>115</v>
      </c>
      <c r="B1" s="230"/>
      <c r="C1" s="230"/>
      <c r="D1" s="230"/>
      <c r="E1" s="230"/>
      <c r="F1" s="230"/>
      <c r="G1" s="164"/>
      <c r="H1" s="164"/>
      <c r="I1" s="164"/>
      <c r="J1" s="164"/>
      <c r="K1" s="164"/>
      <c r="L1" s="25">
        <v>1</v>
      </c>
    </row>
    <row r="2" spans="1:8" ht="24">
      <c r="A2" s="235" t="s">
        <v>365</v>
      </c>
      <c r="B2" s="235"/>
      <c r="C2" s="235"/>
      <c r="D2" s="235"/>
      <c r="E2" s="235"/>
      <c r="F2" s="235"/>
      <c r="G2" s="165"/>
      <c r="H2" s="165"/>
    </row>
    <row r="3" spans="1:8" ht="30.75">
      <c r="A3" s="37" t="s">
        <v>149</v>
      </c>
      <c r="B3" s="36"/>
      <c r="C3" s="36"/>
      <c r="D3" s="36"/>
      <c r="E3" s="36"/>
      <c r="F3" s="36"/>
      <c r="G3" s="26"/>
      <c r="H3" s="26"/>
    </row>
    <row r="4" spans="1:7" ht="24">
      <c r="A4" s="27" t="s">
        <v>104</v>
      </c>
      <c r="B4" s="27" t="s">
        <v>85</v>
      </c>
      <c r="C4" s="27" t="s">
        <v>105</v>
      </c>
      <c r="D4" s="27" t="s">
        <v>106</v>
      </c>
      <c r="E4" s="27" t="s">
        <v>83</v>
      </c>
      <c r="F4" s="27" t="s">
        <v>107</v>
      </c>
      <c r="G4" s="16"/>
    </row>
    <row r="5" spans="1:7" ht="24">
      <c r="A5" s="29">
        <v>1</v>
      </c>
      <c r="B5" s="28" t="s">
        <v>366</v>
      </c>
      <c r="C5" s="28" t="s">
        <v>367</v>
      </c>
      <c r="D5" s="30" t="s">
        <v>368</v>
      </c>
      <c r="E5" s="177">
        <v>403.92</v>
      </c>
      <c r="F5" s="30"/>
      <c r="G5" s="16"/>
    </row>
    <row r="6" spans="1:7" ht="24">
      <c r="A6" s="29">
        <v>2</v>
      </c>
      <c r="B6" s="28" t="s">
        <v>369</v>
      </c>
      <c r="C6" s="28" t="s">
        <v>370</v>
      </c>
      <c r="D6" s="30" t="s">
        <v>371</v>
      </c>
      <c r="E6" s="206">
        <v>346.5</v>
      </c>
      <c r="F6" s="30"/>
      <c r="G6" s="16"/>
    </row>
    <row r="7" spans="1:7" ht="24">
      <c r="A7" s="29">
        <v>3</v>
      </c>
      <c r="B7" s="28" t="s">
        <v>372</v>
      </c>
      <c r="C7" s="28" t="s">
        <v>373</v>
      </c>
      <c r="D7" s="30" t="s">
        <v>374</v>
      </c>
      <c r="E7" s="206">
        <v>110606.08</v>
      </c>
      <c r="F7" s="30"/>
      <c r="G7" s="16"/>
    </row>
    <row r="8" spans="1:7" ht="24">
      <c r="A8" s="29">
        <v>4</v>
      </c>
      <c r="B8" s="28" t="s">
        <v>375</v>
      </c>
      <c r="C8" s="28" t="s">
        <v>376</v>
      </c>
      <c r="D8" s="30" t="s">
        <v>377</v>
      </c>
      <c r="E8" s="206">
        <v>9000</v>
      </c>
      <c r="F8" s="30"/>
      <c r="G8" s="16"/>
    </row>
    <row r="9" spans="1:7" ht="24">
      <c r="A9" s="29"/>
      <c r="B9" s="28"/>
      <c r="C9" s="28"/>
      <c r="D9" s="30"/>
      <c r="E9" s="177"/>
      <c r="F9" s="30"/>
      <c r="G9" s="16"/>
    </row>
    <row r="10" spans="1:7" ht="24">
      <c r="A10" s="29"/>
      <c r="B10" s="28"/>
      <c r="C10" s="28"/>
      <c r="D10" s="30"/>
      <c r="E10" s="177"/>
      <c r="F10" s="30"/>
      <c r="G10" s="16"/>
    </row>
    <row r="11" spans="1:7" ht="24">
      <c r="A11" s="29"/>
      <c r="B11" s="28"/>
      <c r="C11" s="28"/>
      <c r="D11" s="30"/>
      <c r="E11" s="177"/>
      <c r="F11" s="30"/>
      <c r="G11" s="16"/>
    </row>
    <row r="12" spans="1:7" ht="24">
      <c r="A12" s="29"/>
      <c r="B12" s="28"/>
      <c r="C12" s="28"/>
      <c r="D12" s="30"/>
      <c r="E12" s="177"/>
      <c r="F12" s="30"/>
      <c r="G12" s="16"/>
    </row>
    <row r="13" spans="1:7" ht="24">
      <c r="A13" s="29"/>
      <c r="B13" s="28"/>
      <c r="C13" s="28"/>
      <c r="D13" s="30"/>
      <c r="E13" s="177"/>
      <c r="F13" s="30"/>
      <c r="G13" s="16"/>
    </row>
    <row r="14" spans="1:7" ht="24">
      <c r="A14" s="29"/>
      <c r="B14" s="28"/>
      <c r="C14" s="28"/>
      <c r="D14" s="30"/>
      <c r="E14" s="177"/>
      <c r="F14" s="30"/>
      <c r="G14" s="16"/>
    </row>
    <row r="15" spans="1:7" ht="24">
      <c r="A15" s="29"/>
      <c r="B15" s="28"/>
      <c r="C15" s="28"/>
      <c r="D15" s="30"/>
      <c r="E15" s="177"/>
      <c r="F15" s="30"/>
      <c r="G15" s="16"/>
    </row>
    <row r="16" spans="1:7" ht="24">
      <c r="A16" s="29"/>
      <c r="B16" s="28"/>
      <c r="C16" s="28"/>
      <c r="D16" s="30"/>
      <c r="E16" s="177"/>
      <c r="F16" s="30"/>
      <c r="G16" s="16"/>
    </row>
    <row r="17" spans="1:7" ht="24">
      <c r="A17" s="29"/>
      <c r="B17" s="28"/>
      <c r="C17" s="28"/>
      <c r="D17" s="30"/>
      <c r="E17" s="177"/>
      <c r="F17" s="30"/>
      <c r="G17" s="16"/>
    </row>
    <row r="18" spans="1:7" ht="24">
      <c r="A18" s="29"/>
      <c r="B18" s="28"/>
      <c r="C18" s="28"/>
      <c r="D18" s="30"/>
      <c r="E18" s="177"/>
      <c r="F18" s="30"/>
      <c r="G18" s="16"/>
    </row>
    <row r="19" spans="1:7" ht="24">
      <c r="A19" s="29"/>
      <c r="B19" s="28"/>
      <c r="C19" s="28"/>
      <c r="D19" s="30"/>
      <c r="E19" s="177"/>
      <c r="F19" s="30"/>
      <c r="G19" s="16"/>
    </row>
    <row r="20" spans="1:7" ht="24">
      <c r="A20" s="29"/>
      <c r="B20" s="28"/>
      <c r="C20" s="28"/>
      <c r="D20" s="30"/>
      <c r="E20" s="177"/>
      <c r="F20" s="30"/>
      <c r="G20" s="16"/>
    </row>
    <row r="21" spans="1:7" ht="24">
      <c r="A21" s="29"/>
      <c r="B21" s="28"/>
      <c r="C21" s="28"/>
      <c r="D21" s="30"/>
      <c r="E21" s="177"/>
      <c r="F21" s="30"/>
      <c r="G21" s="16"/>
    </row>
    <row r="22" spans="1:7" ht="24">
      <c r="A22" s="29"/>
      <c r="B22" s="28"/>
      <c r="C22" s="28"/>
      <c r="D22" s="30"/>
      <c r="E22" s="177"/>
      <c r="F22" s="30"/>
      <c r="G22" s="16"/>
    </row>
    <row r="23" spans="1:7" ht="24">
      <c r="A23" s="29"/>
      <c r="B23" s="28"/>
      <c r="C23" s="28"/>
      <c r="D23" s="30"/>
      <c r="E23" s="177"/>
      <c r="F23" s="30"/>
      <c r="G23" s="16"/>
    </row>
    <row r="24" spans="1:7" ht="24">
      <c r="A24" s="29"/>
      <c r="B24" s="28"/>
      <c r="C24" s="28"/>
      <c r="D24" s="30"/>
      <c r="E24" s="177"/>
      <c r="F24" s="30"/>
      <c r="G24" s="16"/>
    </row>
    <row r="25" spans="1:7" ht="24">
      <c r="A25" s="29"/>
      <c r="B25" s="28"/>
      <c r="C25" s="102"/>
      <c r="D25" s="30"/>
      <c r="E25" s="177"/>
      <c r="F25" s="30"/>
      <c r="G25" s="16"/>
    </row>
    <row r="26" spans="1:7" ht="24">
      <c r="A26" s="29"/>
      <c r="B26" s="28"/>
      <c r="C26" s="102"/>
      <c r="D26" s="30"/>
      <c r="E26" s="177"/>
      <c r="F26" s="30"/>
      <c r="G26" s="16"/>
    </row>
    <row r="27" spans="1:7" ht="24">
      <c r="A27" s="29"/>
      <c r="B27" s="28"/>
      <c r="C27" s="102"/>
      <c r="D27" s="30"/>
      <c r="E27" s="177"/>
      <c r="F27" s="30"/>
      <c r="G27" s="16"/>
    </row>
    <row r="28" spans="1:7" ht="24">
      <c r="A28" s="28"/>
      <c r="B28" s="28"/>
      <c r="C28" s="102"/>
      <c r="D28" s="30"/>
      <c r="E28" s="177"/>
      <c r="F28" s="30"/>
      <c r="G28" s="16"/>
    </row>
    <row r="29" spans="4:5" ht="24.75" thickBot="1">
      <c r="D29" s="32" t="s">
        <v>24</v>
      </c>
      <c r="E29" s="134">
        <f>SUM(E5:E28)</f>
        <v>120356.5</v>
      </c>
    </row>
    <row r="30" spans="4:5" ht="24.75" thickTop="1">
      <c r="D30" s="32"/>
      <c r="E30" s="208"/>
    </row>
    <row r="31" spans="4:5" ht="24">
      <c r="D31" s="32"/>
      <c r="E31" s="208"/>
    </row>
    <row r="32" spans="4:5" ht="24">
      <c r="D32" s="32"/>
      <c r="E32" s="208"/>
    </row>
    <row r="33" spans="4:5" ht="24">
      <c r="D33" s="232" t="s">
        <v>114</v>
      </c>
      <c r="E33" s="232"/>
    </row>
    <row r="34" spans="4:5" ht="24">
      <c r="D34" s="232" t="s">
        <v>195</v>
      </c>
      <c r="E34" s="232"/>
    </row>
    <row r="35" spans="4:6" ht="24">
      <c r="D35" s="232" t="s">
        <v>196</v>
      </c>
      <c r="E35" s="232"/>
      <c r="F35" s="35"/>
    </row>
    <row r="36" spans="4:6" ht="24">
      <c r="D36" s="207"/>
      <c r="E36" s="207"/>
      <c r="F36" s="35"/>
    </row>
    <row r="37" spans="1:11" ht="24">
      <c r="A37" s="230" t="s">
        <v>173</v>
      </c>
      <c r="B37" s="230"/>
      <c r="C37" s="230"/>
      <c r="D37" s="230"/>
      <c r="E37" s="230"/>
      <c r="F37" s="230"/>
      <c r="G37" s="164"/>
      <c r="H37" s="164"/>
      <c r="I37" s="164"/>
      <c r="J37" s="164"/>
      <c r="K37" s="164"/>
    </row>
    <row r="38" spans="1:13" ht="24">
      <c r="A38" s="235" t="s">
        <v>365</v>
      </c>
      <c r="B38" s="235"/>
      <c r="C38" s="235"/>
      <c r="D38" s="235"/>
      <c r="E38" s="235"/>
      <c r="F38" s="235"/>
      <c r="G38" s="165"/>
      <c r="H38" s="165"/>
      <c r="M38" s="25">
        <v>2</v>
      </c>
    </row>
    <row r="39" spans="1:8" ht="30.75">
      <c r="A39" s="37" t="s">
        <v>116</v>
      </c>
      <c r="B39" s="36"/>
      <c r="C39" s="36"/>
      <c r="D39" s="36"/>
      <c r="E39" s="36"/>
      <c r="F39" s="36"/>
      <c r="G39" s="26"/>
      <c r="H39" s="26"/>
    </row>
    <row r="40" spans="1:10" ht="24">
      <c r="A40" s="27" t="s">
        <v>104</v>
      </c>
      <c r="B40" s="27" t="s">
        <v>85</v>
      </c>
      <c r="C40" s="27" t="s">
        <v>105</v>
      </c>
      <c r="D40" s="27" t="s">
        <v>106</v>
      </c>
      <c r="E40" s="27" t="s">
        <v>83</v>
      </c>
      <c r="F40" s="27" t="s">
        <v>107</v>
      </c>
      <c r="G40" s="16"/>
      <c r="J40" s="25">
        <f>-12:12</f>
        <v>0</v>
      </c>
    </row>
    <row r="41" spans="1:7" ht="24">
      <c r="A41" s="28"/>
      <c r="B41" s="28"/>
      <c r="C41" s="102"/>
      <c r="D41" s="29"/>
      <c r="E41" s="206"/>
      <c r="F41" s="30"/>
      <c r="G41" s="16"/>
    </row>
    <row r="42" spans="1:7" ht="24">
      <c r="A42" s="28"/>
      <c r="B42" s="28"/>
      <c r="C42" s="102"/>
      <c r="D42" s="30"/>
      <c r="E42" s="31"/>
      <c r="F42" s="30"/>
      <c r="G42" s="16"/>
    </row>
    <row r="43" spans="1:7" ht="24">
      <c r="A43" s="28"/>
      <c r="B43" s="28"/>
      <c r="C43" s="102"/>
      <c r="D43" s="30"/>
      <c r="E43" s="31"/>
      <c r="F43" s="30"/>
      <c r="G43" s="16"/>
    </row>
    <row r="44" spans="1:7" ht="24">
      <c r="A44" s="28"/>
      <c r="B44" s="28"/>
      <c r="C44" s="102"/>
      <c r="D44" s="30"/>
      <c r="E44" s="31"/>
      <c r="F44" s="30"/>
      <c r="G44" s="16"/>
    </row>
    <row r="45" spans="1:10" ht="24">
      <c r="A45" s="28"/>
      <c r="B45" s="28"/>
      <c r="C45" s="102"/>
      <c r="D45" s="30"/>
      <c r="E45" s="31"/>
      <c r="F45" s="30"/>
      <c r="G45" s="16"/>
      <c r="J45" s="25" t="s">
        <v>97</v>
      </c>
    </row>
    <row r="46" spans="1:7" ht="24">
      <c r="A46" s="28"/>
      <c r="B46" s="28"/>
      <c r="C46" s="102"/>
      <c r="D46" s="30"/>
      <c r="E46" s="31"/>
      <c r="F46" s="30"/>
      <c r="G46" s="16"/>
    </row>
    <row r="47" spans="1:7" ht="24">
      <c r="A47" s="28"/>
      <c r="B47" s="28"/>
      <c r="C47" s="102"/>
      <c r="D47" s="30"/>
      <c r="E47" s="31"/>
      <c r="F47" s="30"/>
      <c r="G47" s="16"/>
    </row>
    <row r="48" spans="1:7" ht="24">
      <c r="A48" s="28"/>
      <c r="B48" s="29"/>
      <c r="C48" s="28"/>
      <c r="D48" s="30"/>
      <c r="E48" s="31"/>
      <c r="F48" s="30"/>
      <c r="G48" s="16"/>
    </row>
    <row r="49" spans="1:7" ht="24">
      <c r="A49" s="28"/>
      <c r="B49" s="29"/>
      <c r="C49" s="28"/>
      <c r="D49" s="30"/>
      <c r="E49" s="31"/>
      <c r="F49" s="30"/>
      <c r="G49" s="16"/>
    </row>
    <row r="50" spans="4:5" ht="24.75" thickBot="1">
      <c r="D50" s="32" t="s">
        <v>24</v>
      </c>
      <c r="E50" s="134">
        <f>SUM(E41:E49)</f>
        <v>0</v>
      </c>
    </row>
    <row r="51" ht="24.75" thickTop="1"/>
    <row r="52" ht="24">
      <c r="E52" s="34"/>
    </row>
    <row r="53" ht="24">
      <c r="E53" s="34"/>
    </row>
    <row r="54" spans="4:5" ht="24">
      <c r="D54" s="232" t="s">
        <v>114</v>
      </c>
      <c r="E54" s="232"/>
    </row>
    <row r="55" spans="4:5" ht="24">
      <c r="D55" s="232" t="s">
        <v>195</v>
      </c>
      <c r="E55" s="232"/>
    </row>
    <row r="56" spans="4:6" ht="24">
      <c r="D56" s="232" t="s">
        <v>196</v>
      </c>
      <c r="E56" s="232"/>
      <c r="F56" s="35"/>
    </row>
    <row r="62" ht="24">
      <c r="A62" s="25" t="s">
        <v>97</v>
      </c>
    </row>
    <row r="74" spans="1:6" ht="30.75">
      <c r="A74" s="233" t="s">
        <v>115</v>
      </c>
      <c r="B74" s="233"/>
      <c r="C74" s="233"/>
      <c r="D74" s="233"/>
      <c r="E74" s="233"/>
      <c r="F74" s="233"/>
    </row>
    <row r="75" spans="1:8" ht="30.75">
      <c r="A75" s="234" t="s">
        <v>234</v>
      </c>
      <c r="B75" s="234"/>
      <c r="C75" s="234"/>
      <c r="D75" s="234"/>
      <c r="E75" s="234"/>
      <c r="F75" s="234"/>
      <c r="G75" s="25">
        <v>3</v>
      </c>
      <c r="H75" s="62" t="s">
        <v>157</v>
      </c>
    </row>
    <row r="76" spans="1:8" ht="30.75">
      <c r="A76" s="37" t="s">
        <v>149</v>
      </c>
      <c r="B76" s="36"/>
      <c r="C76" s="36"/>
      <c r="D76" s="36"/>
      <c r="E76" s="36"/>
      <c r="F76" s="36"/>
      <c r="H76" s="25" t="s">
        <v>227</v>
      </c>
    </row>
    <row r="77" spans="1:6" ht="24">
      <c r="A77" s="27" t="s">
        <v>104</v>
      </c>
      <c r="B77" s="27" t="s">
        <v>85</v>
      </c>
      <c r="C77" s="27" t="s">
        <v>105</v>
      </c>
      <c r="D77" s="27" t="s">
        <v>106</v>
      </c>
      <c r="E77" s="27" t="s">
        <v>83</v>
      </c>
      <c r="F77" s="27" t="s">
        <v>107</v>
      </c>
    </row>
    <row r="78" spans="1:6" ht="24">
      <c r="A78" s="29">
        <v>1</v>
      </c>
      <c r="B78" s="29">
        <v>3260457</v>
      </c>
      <c r="C78" s="28" t="s">
        <v>235</v>
      </c>
      <c r="D78" s="30" t="s">
        <v>236</v>
      </c>
      <c r="E78" s="31">
        <v>5827.03</v>
      </c>
      <c r="F78" s="27"/>
    </row>
    <row r="79" spans="1:6" ht="24">
      <c r="A79" s="29">
        <v>2</v>
      </c>
      <c r="B79" s="29">
        <v>3260458</v>
      </c>
      <c r="C79" s="28" t="s">
        <v>235</v>
      </c>
      <c r="D79" s="30" t="s">
        <v>237</v>
      </c>
      <c r="E79" s="31">
        <v>23760</v>
      </c>
      <c r="F79" s="27"/>
    </row>
    <row r="80" spans="1:6" ht="24">
      <c r="A80" s="29">
        <v>3</v>
      </c>
      <c r="B80" s="27">
        <v>3260460</v>
      </c>
      <c r="C80" s="28" t="s">
        <v>235</v>
      </c>
      <c r="D80" s="30" t="s">
        <v>154</v>
      </c>
      <c r="E80" s="31">
        <v>17525.87</v>
      </c>
      <c r="F80" s="27"/>
    </row>
    <row r="81" spans="1:6" ht="24">
      <c r="A81" s="29">
        <v>4</v>
      </c>
      <c r="B81" s="27">
        <v>7306881</v>
      </c>
      <c r="C81" s="28" t="s">
        <v>235</v>
      </c>
      <c r="D81" s="133" t="s">
        <v>238</v>
      </c>
      <c r="E81" s="31">
        <v>1981.31</v>
      </c>
      <c r="F81" s="27"/>
    </row>
    <row r="82" spans="1:6" ht="24">
      <c r="A82" s="29">
        <v>5</v>
      </c>
      <c r="B82" s="27">
        <v>7306882</v>
      </c>
      <c r="C82" s="28" t="s">
        <v>235</v>
      </c>
      <c r="D82" s="133" t="s">
        <v>239</v>
      </c>
      <c r="E82" s="31">
        <v>7600</v>
      </c>
      <c r="F82" s="27"/>
    </row>
    <row r="83" spans="1:6" ht="24">
      <c r="A83" s="29">
        <v>6</v>
      </c>
      <c r="B83" s="27">
        <v>7306883</v>
      </c>
      <c r="C83" s="28" t="s">
        <v>235</v>
      </c>
      <c r="D83" s="133" t="s">
        <v>240</v>
      </c>
      <c r="E83" s="31">
        <v>8910</v>
      </c>
      <c r="F83" s="27"/>
    </row>
    <row r="84" spans="1:6" ht="24">
      <c r="A84" s="29"/>
      <c r="B84" s="27"/>
      <c r="C84" s="27"/>
      <c r="D84" s="27"/>
      <c r="E84" s="27"/>
      <c r="F84" s="27"/>
    </row>
    <row r="85" spans="1:6" ht="24">
      <c r="A85" s="29"/>
      <c r="B85" s="29"/>
      <c r="C85" s="28"/>
      <c r="D85" s="30"/>
      <c r="E85" s="31"/>
      <c r="F85" s="30"/>
    </row>
    <row r="86" spans="1:6" ht="24">
      <c r="A86" s="29"/>
      <c r="B86" s="29"/>
      <c r="C86" s="28"/>
      <c r="D86" s="30"/>
      <c r="E86" s="31"/>
      <c r="F86" s="30"/>
    </row>
    <row r="87" spans="1:6" ht="24">
      <c r="A87" s="29"/>
      <c r="B87" s="29"/>
      <c r="C87" s="28"/>
      <c r="D87" s="30"/>
      <c r="E87" s="31"/>
      <c r="F87" s="30"/>
    </row>
    <row r="88" spans="1:6" ht="24">
      <c r="A88" s="29"/>
      <c r="B88" s="29"/>
      <c r="C88" s="28"/>
      <c r="D88" s="30"/>
      <c r="E88" s="31"/>
      <c r="F88" s="30"/>
    </row>
    <row r="89" spans="1:6" ht="24">
      <c r="A89" s="29"/>
      <c r="B89" s="29"/>
      <c r="C89" s="28"/>
      <c r="D89" s="30"/>
      <c r="E89" s="31"/>
      <c r="F89" s="30"/>
    </row>
    <row r="90" spans="1:6" ht="24">
      <c r="A90" s="29"/>
      <c r="B90" s="29"/>
      <c r="C90" s="28"/>
      <c r="D90" s="30"/>
      <c r="E90" s="31"/>
      <c r="F90" s="30"/>
    </row>
    <row r="91" spans="1:6" ht="24">
      <c r="A91" s="29"/>
      <c r="B91" s="29"/>
      <c r="C91" s="28"/>
      <c r="D91" s="30"/>
      <c r="E91" s="31"/>
      <c r="F91" s="30"/>
    </row>
    <row r="92" spans="1:6" ht="24">
      <c r="A92" s="29"/>
      <c r="B92" s="29"/>
      <c r="C92" s="28"/>
      <c r="D92" s="30"/>
      <c r="E92" s="31"/>
      <c r="F92" s="30"/>
    </row>
    <row r="93" spans="1:6" ht="24">
      <c r="A93" s="29"/>
      <c r="B93" s="29"/>
      <c r="C93" s="28"/>
      <c r="D93" s="30"/>
      <c r="E93" s="31"/>
      <c r="F93" s="30"/>
    </row>
    <row r="94" spans="1:6" ht="24">
      <c r="A94" s="29"/>
      <c r="B94" s="29"/>
      <c r="C94" s="28"/>
      <c r="D94" s="30"/>
      <c r="E94" s="31"/>
      <c r="F94" s="30"/>
    </row>
    <row r="95" spans="4:5" ht="24.75" thickBot="1">
      <c r="D95" s="32" t="s">
        <v>24</v>
      </c>
      <c r="E95" s="134">
        <f>SUM(E78:E94)</f>
        <v>65604.20999999999</v>
      </c>
    </row>
    <row r="96" ht="24.75" thickTop="1"/>
    <row r="97" ht="24">
      <c r="E97" s="34"/>
    </row>
    <row r="98" ht="24">
      <c r="E98" s="34"/>
    </row>
    <row r="99" spans="4:5" ht="24" customHeight="1">
      <c r="D99" s="232" t="s">
        <v>243</v>
      </c>
      <c r="E99" s="232"/>
    </row>
    <row r="100" spans="4:5" ht="24">
      <c r="D100" s="232" t="s">
        <v>241</v>
      </c>
      <c r="E100" s="232"/>
    </row>
    <row r="101" spans="4:6" ht="24">
      <c r="D101" s="232" t="s">
        <v>242</v>
      </c>
      <c r="E101" s="232"/>
      <c r="F101" s="35"/>
    </row>
    <row r="102" ht="24">
      <c r="E102" s="34"/>
    </row>
    <row r="103" ht="24">
      <c r="E103" s="34"/>
    </row>
    <row r="104" ht="24">
      <c r="E104" s="34"/>
    </row>
    <row r="105" ht="24">
      <c r="E105" s="34"/>
    </row>
    <row r="106" ht="24">
      <c r="E106" s="34"/>
    </row>
    <row r="107" ht="24">
      <c r="E107" s="34"/>
    </row>
    <row r="108" ht="24">
      <c r="E108" s="34"/>
    </row>
    <row r="109" spans="1:12" ht="30.75">
      <c r="A109" s="233" t="s">
        <v>173</v>
      </c>
      <c r="B109" s="233"/>
      <c r="C109" s="233"/>
      <c r="D109" s="233"/>
      <c r="E109" s="233"/>
      <c r="F109" s="233"/>
      <c r="G109" s="24"/>
      <c r="H109" s="24"/>
      <c r="I109" s="24"/>
      <c r="J109" s="24"/>
      <c r="K109" s="24"/>
      <c r="L109" s="25">
        <v>1</v>
      </c>
    </row>
    <row r="110" spans="1:8" ht="30.75">
      <c r="A110" s="234" t="s">
        <v>168</v>
      </c>
      <c r="B110" s="234"/>
      <c r="C110" s="234"/>
      <c r="D110" s="234"/>
      <c r="E110" s="234"/>
      <c r="F110" s="234"/>
      <c r="G110" s="26"/>
      <c r="H110" s="26"/>
    </row>
    <row r="111" spans="1:8" ht="30.75">
      <c r="A111" s="37" t="s">
        <v>149</v>
      </c>
      <c r="B111" s="36"/>
      <c r="C111" s="36"/>
      <c r="D111" s="36"/>
      <c r="E111" s="36"/>
      <c r="F111" s="36"/>
      <c r="G111" s="26"/>
      <c r="H111" s="26"/>
    </row>
    <row r="112" spans="1:8" ht="24">
      <c r="A112" s="27" t="s">
        <v>104</v>
      </c>
      <c r="B112" s="27" t="s">
        <v>85</v>
      </c>
      <c r="C112" s="27" t="s">
        <v>105</v>
      </c>
      <c r="D112" s="27" t="s">
        <v>106</v>
      </c>
      <c r="E112" s="27" t="s">
        <v>83</v>
      </c>
      <c r="F112" s="27" t="s">
        <v>107</v>
      </c>
      <c r="G112" s="16">
        <v>4</v>
      </c>
      <c r="H112" s="25" t="s">
        <v>157</v>
      </c>
    </row>
    <row r="113" spans="1:7" ht="24">
      <c r="A113" s="28" t="s">
        <v>108</v>
      </c>
      <c r="B113" s="29">
        <v>9982875</v>
      </c>
      <c r="C113" s="28" t="s">
        <v>155</v>
      </c>
      <c r="D113" s="30" t="s">
        <v>156</v>
      </c>
      <c r="E113" s="31">
        <v>78687.4</v>
      </c>
      <c r="F113" s="30"/>
      <c r="G113" s="16"/>
    </row>
    <row r="114" spans="1:7" ht="24">
      <c r="A114" s="28" t="s">
        <v>109</v>
      </c>
      <c r="B114" s="29">
        <v>9982895</v>
      </c>
      <c r="C114" s="28" t="s">
        <v>160</v>
      </c>
      <c r="D114" s="30" t="s">
        <v>169</v>
      </c>
      <c r="E114" s="31">
        <v>1644.57</v>
      </c>
      <c r="F114" s="30"/>
      <c r="G114" s="16"/>
    </row>
    <row r="115" spans="1:7" ht="24">
      <c r="A115" s="28" t="s">
        <v>110</v>
      </c>
      <c r="B115" s="29">
        <v>9982896</v>
      </c>
      <c r="C115" s="28" t="s">
        <v>160</v>
      </c>
      <c r="D115" s="30" t="s">
        <v>170</v>
      </c>
      <c r="E115" s="31">
        <v>3561.2</v>
      </c>
      <c r="F115" s="30"/>
      <c r="G115" s="16"/>
    </row>
    <row r="116" spans="1:7" ht="24">
      <c r="A116" s="28" t="s">
        <v>111</v>
      </c>
      <c r="B116" s="29">
        <v>9982897</v>
      </c>
      <c r="C116" s="28" t="s">
        <v>160</v>
      </c>
      <c r="D116" s="30" t="s">
        <v>171</v>
      </c>
      <c r="E116" s="31">
        <v>8300</v>
      </c>
      <c r="F116" s="30"/>
      <c r="G116" s="16"/>
    </row>
    <row r="117" spans="1:7" ht="24">
      <c r="A117" s="28" t="s">
        <v>112</v>
      </c>
      <c r="B117" s="29">
        <v>9982898</v>
      </c>
      <c r="C117" s="28" t="s">
        <v>160</v>
      </c>
      <c r="D117" s="30" t="s">
        <v>156</v>
      </c>
      <c r="E117" s="31">
        <v>75110.7</v>
      </c>
      <c r="F117" s="30"/>
      <c r="G117" s="16"/>
    </row>
    <row r="118" spans="1:7" ht="24">
      <c r="A118" s="28" t="s">
        <v>113</v>
      </c>
      <c r="B118" s="29">
        <v>9982900</v>
      </c>
      <c r="C118" s="28" t="s">
        <v>160</v>
      </c>
      <c r="D118" s="30" t="s">
        <v>172</v>
      </c>
      <c r="E118" s="31">
        <v>98406</v>
      </c>
      <c r="F118" s="30"/>
      <c r="G118" s="16"/>
    </row>
    <row r="119" spans="1:7" ht="24">
      <c r="A119" s="28" t="s">
        <v>147</v>
      </c>
      <c r="B119" s="28" t="s">
        <v>177</v>
      </c>
      <c r="C119" s="28" t="s">
        <v>163</v>
      </c>
      <c r="D119" s="30" t="s">
        <v>178</v>
      </c>
      <c r="E119" s="31">
        <v>308800</v>
      </c>
      <c r="F119" s="30"/>
      <c r="G119" s="16"/>
    </row>
    <row r="120" spans="1:7" ht="24">
      <c r="A120" s="28" t="s">
        <v>150</v>
      </c>
      <c r="B120" s="29"/>
      <c r="C120" s="28"/>
      <c r="D120" s="30"/>
      <c r="E120" s="31"/>
      <c r="F120" s="30"/>
      <c r="G120" s="16"/>
    </row>
    <row r="121" spans="1:7" ht="24">
      <c r="A121" s="28" t="s">
        <v>151</v>
      </c>
      <c r="B121" s="29"/>
      <c r="C121" s="28"/>
      <c r="D121" s="30"/>
      <c r="E121" s="31"/>
      <c r="F121" s="30"/>
      <c r="G121" s="16"/>
    </row>
    <row r="122" spans="1:7" ht="24">
      <c r="A122" s="28" t="s">
        <v>152</v>
      </c>
      <c r="B122" s="29"/>
      <c r="C122" s="28"/>
      <c r="D122" s="30"/>
      <c r="E122" s="31"/>
      <c r="F122" s="30"/>
      <c r="G122" s="16"/>
    </row>
    <row r="123" spans="4:5" ht="24.75" thickBot="1">
      <c r="D123" s="32" t="s">
        <v>24</v>
      </c>
      <c r="E123" s="33">
        <f>SUM(E113:E122)</f>
        <v>574509.87</v>
      </c>
    </row>
    <row r="124" ht="24.75" thickTop="1"/>
    <row r="125" ht="24">
      <c r="E125" s="34"/>
    </row>
    <row r="126" ht="24">
      <c r="E126" s="34"/>
    </row>
    <row r="127" spans="4:5" ht="24">
      <c r="D127" s="232" t="s">
        <v>114</v>
      </c>
      <c r="E127" s="232"/>
    </row>
    <row r="128" spans="4:5" ht="24">
      <c r="D128" s="232" t="s">
        <v>148</v>
      </c>
      <c r="E128" s="232"/>
    </row>
    <row r="129" spans="4:6" ht="24">
      <c r="D129" s="232" t="s">
        <v>153</v>
      </c>
      <c r="E129" s="232"/>
      <c r="F129" s="35"/>
    </row>
  </sheetData>
  <sheetProtection/>
  <mergeCells count="20">
    <mergeCell ref="A74:F74"/>
    <mergeCell ref="A1:F1"/>
    <mergeCell ref="A2:F2"/>
    <mergeCell ref="D54:E54"/>
    <mergeCell ref="D55:E55"/>
    <mergeCell ref="D56:E56"/>
    <mergeCell ref="A37:F37"/>
    <mergeCell ref="A38:F38"/>
    <mergeCell ref="D33:E33"/>
    <mergeCell ref="D34:E34"/>
    <mergeCell ref="D35:E35"/>
    <mergeCell ref="A109:F109"/>
    <mergeCell ref="A110:F110"/>
    <mergeCell ref="D127:E127"/>
    <mergeCell ref="D128:E128"/>
    <mergeCell ref="D129:E129"/>
    <mergeCell ref="A75:F75"/>
    <mergeCell ref="D99:E99"/>
    <mergeCell ref="D100:E100"/>
    <mergeCell ref="D101:E101"/>
  </mergeCells>
  <printOptions/>
  <pageMargins left="0.16" right="0.14" top="0.52" bottom="0.74" header="0.3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6"/>
  <sheetViews>
    <sheetView zoomScale="120" zoomScaleNormal="120" zoomScalePageLayoutView="0" workbookViewId="0" topLeftCell="A118">
      <selection activeCell="J128" sqref="J128"/>
    </sheetView>
  </sheetViews>
  <sheetFormatPr defaultColWidth="9.140625" defaultRowHeight="23.25"/>
  <cols>
    <col min="1" max="1" width="20.57421875" style="16" customWidth="1"/>
    <col min="2" max="2" width="21.57421875" style="16" customWidth="1"/>
    <col min="3" max="3" width="6.7109375" style="16" customWidth="1"/>
    <col min="4" max="4" width="21.421875" style="17" customWidth="1"/>
    <col min="5" max="5" width="2.57421875" style="16" customWidth="1"/>
    <col min="6" max="6" width="1.57421875" style="16" customWidth="1"/>
    <col min="7" max="7" width="30.00390625" style="17" customWidth="1"/>
    <col min="8" max="10" width="9.140625" style="16" customWidth="1"/>
    <col min="11" max="11" width="14.7109375" style="16" customWidth="1"/>
    <col min="12" max="16384" width="9.140625" style="16" customWidth="1"/>
  </cols>
  <sheetData>
    <row r="1" spans="1:8" s="66" customFormat="1" ht="24">
      <c r="A1" s="236" t="s">
        <v>100</v>
      </c>
      <c r="B1" s="237"/>
      <c r="C1" s="105" t="s">
        <v>117</v>
      </c>
      <c r="D1" s="106"/>
      <c r="E1" s="104"/>
      <c r="F1" s="104"/>
      <c r="G1" s="106"/>
      <c r="H1" s="66">
        <v>1</v>
      </c>
    </row>
    <row r="2" spans="1:12" s="66" customFormat="1" ht="24">
      <c r="A2" s="104"/>
      <c r="B2" s="104"/>
      <c r="C2" s="105" t="s">
        <v>194</v>
      </c>
      <c r="D2" s="106"/>
      <c r="E2" s="104"/>
      <c r="F2" s="104"/>
      <c r="G2" s="106"/>
      <c r="I2" s="74" t="s">
        <v>322</v>
      </c>
      <c r="L2" s="74" t="s">
        <v>214</v>
      </c>
    </row>
    <row r="3" spans="1:7" s="66" customFormat="1" ht="24">
      <c r="A3" s="104" t="s">
        <v>80</v>
      </c>
      <c r="B3" s="104"/>
      <c r="C3" s="105"/>
      <c r="D3" s="106"/>
      <c r="E3" s="104"/>
      <c r="F3" s="104"/>
      <c r="G3" s="106"/>
    </row>
    <row r="4" spans="1:7" s="66" customFormat="1" ht="24">
      <c r="A4" s="107"/>
      <c r="B4" s="107"/>
      <c r="C4" s="108"/>
      <c r="D4" s="109"/>
      <c r="E4" s="107"/>
      <c r="F4" s="107"/>
      <c r="G4" s="109"/>
    </row>
    <row r="5" spans="1:7" s="66" customFormat="1" ht="24">
      <c r="A5" s="104" t="s">
        <v>359</v>
      </c>
      <c r="B5" s="104"/>
      <c r="C5" s="104"/>
      <c r="D5" s="106"/>
      <c r="E5" s="104"/>
      <c r="F5" s="110"/>
      <c r="G5" s="106">
        <v>7208391.01</v>
      </c>
    </row>
    <row r="6" spans="1:7" s="66" customFormat="1" ht="24">
      <c r="A6" s="111" t="s">
        <v>211</v>
      </c>
      <c r="B6" s="104"/>
      <c r="C6" s="104"/>
      <c r="D6" s="106"/>
      <c r="E6" s="104"/>
      <c r="F6" s="105"/>
      <c r="G6" s="106"/>
    </row>
    <row r="7" spans="1:7" s="67" customFormat="1" ht="24">
      <c r="A7" s="112" t="s">
        <v>81</v>
      </c>
      <c r="B7" s="112" t="s">
        <v>82</v>
      </c>
      <c r="C7" s="112"/>
      <c r="D7" s="113" t="s">
        <v>83</v>
      </c>
      <c r="E7" s="112"/>
      <c r="F7" s="114"/>
      <c r="G7" s="113"/>
    </row>
    <row r="8" spans="1:7" s="67" customFormat="1" ht="24">
      <c r="A8" s="112"/>
      <c r="B8" s="112"/>
      <c r="C8" s="112"/>
      <c r="D8" s="113"/>
      <c r="E8" s="112"/>
      <c r="F8" s="114"/>
      <c r="G8" s="113"/>
    </row>
    <row r="9" spans="1:7" s="67" customFormat="1" ht="24">
      <c r="A9" s="112"/>
      <c r="B9" s="112"/>
      <c r="C9" s="112"/>
      <c r="D9" s="113"/>
      <c r="E9" s="112"/>
      <c r="F9" s="114"/>
      <c r="G9" s="113"/>
    </row>
    <row r="10" spans="1:7" s="67" customFormat="1" ht="24">
      <c r="A10" s="112"/>
      <c r="B10" s="112"/>
      <c r="C10" s="112"/>
      <c r="D10" s="113"/>
      <c r="E10" s="112"/>
      <c r="F10" s="114"/>
      <c r="G10" s="113"/>
    </row>
    <row r="11" spans="1:7" s="68" customFormat="1" ht="24">
      <c r="A11" s="112"/>
      <c r="B11" s="112"/>
      <c r="C11" s="112"/>
      <c r="D11" s="113"/>
      <c r="E11" s="112"/>
      <c r="F11" s="114"/>
      <c r="G11" s="113"/>
    </row>
    <row r="12" spans="1:7" s="66" customFormat="1" ht="24">
      <c r="A12" s="111" t="s">
        <v>212</v>
      </c>
      <c r="B12" s="104"/>
      <c r="C12" s="104"/>
      <c r="D12" s="106"/>
      <c r="E12" s="112"/>
      <c r="F12" s="114"/>
      <c r="G12" s="113"/>
    </row>
    <row r="13" spans="1:7" s="67" customFormat="1" ht="24">
      <c r="A13" s="112" t="s">
        <v>84</v>
      </c>
      <c r="B13" s="112" t="s">
        <v>85</v>
      </c>
      <c r="C13" s="112"/>
      <c r="D13" s="113" t="s">
        <v>83</v>
      </c>
      <c r="E13" s="112"/>
      <c r="F13" s="114"/>
      <c r="G13" s="113"/>
    </row>
    <row r="14" spans="1:7" s="68" customFormat="1" ht="24">
      <c r="A14" s="98" t="s">
        <v>367</v>
      </c>
      <c r="B14" s="98" t="s">
        <v>366</v>
      </c>
      <c r="C14" s="118"/>
      <c r="D14" s="17">
        <v>403.92</v>
      </c>
      <c r="E14" s="112"/>
      <c r="F14" s="114"/>
      <c r="G14" s="219"/>
    </row>
    <row r="15" spans="1:7" s="68" customFormat="1" ht="24">
      <c r="A15" s="98" t="s">
        <v>370</v>
      </c>
      <c r="B15" s="98" t="s">
        <v>369</v>
      </c>
      <c r="C15" s="118"/>
      <c r="D15" s="216">
        <v>346.5</v>
      </c>
      <c r="E15" s="112"/>
      <c r="F15" s="114"/>
      <c r="G15" s="113"/>
    </row>
    <row r="16" spans="1:7" s="68" customFormat="1" ht="24">
      <c r="A16" s="98" t="s">
        <v>373</v>
      </c>
      <c r="B16" s="98" t="s">
        <v>372</v>
      </c>
      <c r="C16" s="118"/>
      <c r="D16" s="216">
        <v>110606.08</v>
      </c>
      <c r="E16" s="118"/>
      <c r="F16" s="114"/>
      <c r="G16" s="113"/>
    </row>
    <row r="17" spans="1:7" s="66" customFormat="1" ht="24">
      <c r="A17" s="98" t="s">
        <v>376</v>
      </c>
      <c r="B17" s="98" t="s">
        <v>375</v>
      </c>
      <c r="C17" s="104"/>
      <c r="D17" s="216">
        <v>9000</v>
      </c>
      <c r="E17" s="118"/>
      <c r="F17" s="114"/>
      <c r="G17" s="219">
        <v>120356.5</v>
      </c>
    </row>
    <row r="18" spans="1:7" s="67" customFormat="1" ht="24">
      <c r="A18" s="98"/>
      <c r="B18" s="98"/>
      <c r="C18" s="112"/>
      <c r="D18" s="17"/>
      <c r="E18" s="118"/>
      <c r="F18" s="114"/>
      <c r="G18" s="113"/>
    </row>
    <row r="19" spans="1:7" s="68" customFormat="1" ht="24">
      <c r="A19" s="98"/>
      <c r="B19" s="98"/>
      <c r="C19" s="118"/>
      <c r="D19" s="17"/>
      <c r="E19" s="118"/>
      <c r="F19" s="114"/>
      <c r="G19" s="113"/>
    </row>
    <row r="20" spans="1:7" s="68" customFormat="1" ht="24">
      <c r="A20" s="98"/>
      <c r="B20" s="98"/>
      <c r="C20" s="118"/>
      <c r="D20" s="17"/>
      <c r="E20" s="118"/>
      <c r="F20" s="114"/>
      <c r="G20" s="113"/>
    </row>
    <row r="21" spans="1:7" s="68" customFormat="1" ht="24">
      <c r="A21" s="98"/>
      <c r="B21" s="98"/>
      <c r="C21" s="118"/>
      <c r="D21" s="17"/>
      <c r="E21" s="118"/>
      <c r="F21" s="114"/>
      <c r="G21" s="113"/>
    </row>
    <row r="22" spans="1:7" s="68" customFormat="1" ht="24">
      <c r="A22" s="98"/>
      <c r="B22" s="98"/>
      <c r="C22" s="118"/>
      <c r="D22" s="17"/>
      <c r="E22" s="118"/>
      <c r="F22" s="114"/>
      <c r="G22" s="208"/>
    </row>
    <row r="23" spans="1:7" s="68" customFormat="1" ht="24">
      <c r="A23" s="98"/>
      <c r="B23" s="98"/>
      <c r="C23" s="118"/>
      <c r="D23" s="17"/>
      <c r="E23" s="118"/>
      <c r="F23" s="114"/>
      <c r="G23" s="113"/>
    </row>
    <row r="24" spans="1:7" s="66" customFormat="1" ht="24">
      <c r="A24" s="98"/>
      <c r="B24" s="98"/>
      <c r="C24" s="104"/>
      <c r="D24" s="17"/>
      <c r="E24" s="104"/>
      <c r="F24" s="105"/>
      <c r="G24" s="106"/>
    </row>
    <row r="25" spans="1:7" s="66" customFormat="1" ht="24">
      <c r="A25" s="98"/>
      <c r="B25" s="98"/>
      <c r="C25" s="104"/>
      <c r="D25" s="17"/>
      <c r="E25" s="104"/>
      <c r="F25" s="105"/>
      <c r="G25" s="106"/>
    </row>
    <row r="26" spans="1:7" s="66" customFormat="1" ht="24">
      <c r="A26" s="111"/>
      <c r="B26" s="98"/>
      <c r="C26" s="104"/>
      <c r="D26" s="106"/>
      <c r="E26" s="104"/>
      <c r="F26" s="105"/>
      <c r="G26" s="106"/>
    </row>
    <row r="27" spans="1:7" s="66" customFormat="1" ht="24">
      <c r="A27" s="111" t="s">
        <v>213</v>
      </c>
      <c r="B27" s="104"/>
      <c r="C27" s="104"/>
      <c r="D27" s="106"/>
      <c r="E27" s="104"/>
      <c r="F27" s="105"/>
      <c r="G27" s="106"/>
    </row>
    <row r="28" spans="1:7" s="66" customFormat="1" ht="24">
      <c r="A28" s="111" t="s">
        <v>86</v>
      </c>
      <c r="B28" s="104"/>
      <c r="C28" s="104"/>
      <c r="D28" s="106"/>
      <c r="E28" s="104"/>
      <c r="F28" s="105"/>
      <c r="G28" s="106"/>
    </row>
    <row r="29" spans="1:7" ht="24">
      <c r="A29" s="16" t="s">
        <v>380</v>
      </c>
      <c r="B29" s="17"/>
      <c r="E29" s="104"/>
      <c r="F29" s="105"/>
      <c r="G29" s="106">
        <v>50</v>
      </c>
    </row>
    <row r="30" spans="6:7" ht="24">
      <c r="F30" s="18"/>
      <c r="G30" s="106"/>
    </row>
    <row r="31" spans="1:7" s="66" customFormat="1" ht="24">
      <c r="A31" s="104" t="s">
        <v>358</v>
      </c>
      <c r="B31" s="104"/>
      <c r="C31" s="104"/>
      <c r="D31" s="106"/>
      <c r="E31" s="104"/>
      <c r="F31" s="108"/>
      <c r="G31" s="106">
        <f>SUM(G5-G14-G17-G29)</f>
        <v>7087984.51</v>
      </c>
    </row>
    <row r="32" spans="1:7" s="68" customFormat="1" ht="24">
      <c r="A32" s="123" t="s">
        <v>87</v>
      </c>
      <c r="B32" s="123"/>
      <c r="C32" s="123"/>
      <c r="D32" s="124" t="s">
        <v>88</v>
      </c>
      <c r="E32" s="123"/>
      <c r="F32" s="123"/>
      <c r="G32" s="125"/>
    </row>
    <row r="33" spans="1:7" s="68" customFormat="1" ht="24">
      <c r="A33" s="118"/>
      <c r="B33" s="118"/>
      <c r="C33" s="118"/>
      <c r="D33" s="126"/>
      <c r="E33" s="118"/>
      <c r="F33" s="118"/>
      <c r="G33" s="119"/>
    </row>
    <row r="34" spans="1:7" s="68" customFormat="1" ht="24">
      <c r="A34" s="118" t="s">
        <v>356</v>
      </c>
      <c r="B34" s="118"/>
      <c r="C34" s="118"/>
      <c r="D34" s="126" t="s">
        <v>363</v>
      </c>
      <c r="E34" s="118"/>
      <c r="F34" s="118"/>
      <c r="G34" s="119"/>
    </row>
    <row r="35" spans="1:7" s="68" customFormat="1" ht="24">
      <c r="A35" s="118" t="s">
        <v>197</v>
      </c>
      <c r="B35" s="118"/>
      <c r="C35" s="118"/>
      <c r="D35" s="126" t="s">
        <v>261</v>
      </c>
      <c r="E35" s="118"/>
      <c r="F35" s="118"/>
      <c r="G35" s="119"/>
    </row>
    <row r="36" spans="4:7" s="68" customFormat="1" ht="24">
      <c r="D36" s="70"/>
      <c r="G36" s="69"/>
    </row>
    <row r="38" spans="1:8" s="1" customFormat="1" ht="24">
      <c r="A38" s="1" t="s">
        <v>100</v>
      </c>
      <c r="C38" s="2" t="s">
        <v>117</v>
      </c>
      <c r="D38" s="3"/>
      <c r="G38" s="3"/>
      <c r="H38" s="1">
        <v>2</v>
      </c>
    </row>
    <row r="39" spans="3:12" s="1" customFormat="1" ht="24">
      <c r="C39" s="2" t="s">
        <v>118</v>
      </c>
      <c r="D39" s="3"/>
      <c r="G39" s="3"/>
      <c r="I39" s="74" t="s">
        <v>208</v>
      </c>
      <c r="L39" s="74" t="s">
        <v>214</v>
      </c>
    </row>
    <row r="40" spans="1:7" s="1" customFormat="1" ht="24">
      <c r="A40" s="1" t="s">
        <v>80</v>
      </c>
      <c r="C40" s="2"/>
      <c r="D40" s="17" t="s">
        <v>119</v>
      </c>
      <c r="G40" s="3"/>
    </row>
    <row r="41" spans="1:7" s="1" customFormat="1" ht="24">
      <c r="A41" s="4"/>
      <c r="B41" s="4"/>
      <c r="C41" s="5"/>
      <c r="D41" s="65" t="s">
        <v>120</v>
      </c>
      <c r="E41" s="4"/>
      <c r="F41" s="4"/>
      <c r="G41" s="6"/>
    </row>
    <row r="42" spans="1:7" s="1" customFormat="1" ht="24">
      <c r="A42" s="1" t="s">
        <v>362</v>
      </c>
      <c r="D42" s="3"/>
      <c r="F42" s="7"/>
      <c r="G42" s="3">
        <v>224330.44</v>
      </c>
    </row>
    <row r="43" spans="1:7" s="1" customFormat="1" ht="24">
      <c r="A43" s="8" t="s">
        <v>101</v>
      </c>
      <c r="D43" s="3"/>
      <c r="F43" s="2"/>
      <c r="G43" s="3"/>
    </row>
    <row r="44" spans="1:7" s="9" customFormat="1" ht="24">
      <c r="A44" s="9" t="s">
        <v>81</v>
      </c>
      <c r="B44" s="9" t="s">
        <v>82</v>
      </c>
      <c r="D44" s="10" t="s">
        <v>83</v>
      </c>
      <c r="F44" s="2"/>
      <c r="G44" s="10"/>
    </row>
    <row r="45" spans="1:7" ht="24">
      <c r="A45" s="98"/>
      <c r="B45" s="98"/>
      <c r="E45" s="9"/>
      <c r="F45" s="2"/>
      <c r="G45" s="10"/>
    </row>
    <row r="46" spans="1:7" ht="24">
      <c r="A46" s="98"/>
      <c r="B46" s="98"/>
      <c r="E46" s="9"/>
      <c r="F46" s="2"/>
      <c r="G46" s="10"/>
    </row>
    <row r="47" spans="1:7" ht="24">
      <c r="A47" s="98"/>
      <c r="B47" s="98"/>
      <c r="E47" s="9"/>
      <c r="F47" s="2"/>
      <c r="G47" s="10"/>
    </row>
    <row r="48" spans="1:7" ht="24">
      <c r="A48" s="98"/>
      <c r="E48" s="9"/>
      <c r="F48" s="2"/>
      <c r="G48" s="10"/>
    </row>
    <row r="49" spans="1:7" ht="24">
      <c r="A49" s="98"/>
      <c r="E49" s="9"/>
      <c r="F49" s="2"/>
      <c r="G49" s="10"/>
    </row>
    <row r="50" ht="24">
      <c r="F50" s="2"/>
    </row>
    <row r="51" spans="1:7" s="1" customFormat="1" ht="24">
      <c r="A51" s="8" t="s">
        <v>102</v>
      </c>
      <c r="D51" s="3"/>
      <c r="F51" s="2"/>
      <c r="G51" s="3"/>
    </row>
    <row r="52" spans="1:7" s="9" customFormat="1" ht="24">
      <c r="A52" s="9" t="s">
        <v>84</v>
      </c>
      <c r="B52" s="9" t="s">
        <v>85</v>
      </c>
      <c r="D52" s="10" t="s">
        <v>83</v>
      </c>
      <c r="F52" s="11"/>
      <c r="G52" s="3"/>
    </row>
    <row r="53" spans="1:7" ht="24">
      <c r="A53" s="98"/>
      <c r="B53" s="71"/>
      <c r="E53" s="9"/>
      <c r="F53" s="11"/>
      <c r="G53" s="3"/>
    </row>
    <row r="54" spans="1:7" ht="24">
      <c r="A54" s="98"/>
      <c r="B54" s="71"/>
      <c r="E54" s="9"/>
      <c r="F54" s="11"/>
      <c r="G54" s="3"/>
    </row>
    <row r="55" spans="1:7" ht="24">
      <c r="A55" s="98"/>
      <c r="B55" s="71"/>
      <c r="E55" s="9"/>
      <c r="F55" s="11"/>
      <c r="G55" s="3"/>
    </row>
    <row r="56" spans="1:7" ht="24">
      <c r="A56" s="98"/>
      <c r="B56" s="71"/>
      <c r="E56" s="9"/>
      <c r="F56" s="11"/>
      <c r="G56" s="3"/>
    </row>
    <row r="57" spans="1:7" ht="24">
      <c r="A57" s="98"/>
      <c r="B57" s="71"/>
      <c r="E57" s="9"/>
      <c r="F57" s="11"/>
      <c r="G57" s="3"/>
    </row>
    <row r="58" spans="1:7" ht="24">
      <c r="A58" s="98"/>
      <c r="B58" s="71"/>
      <c r="E58" s="9"/>
      <c r="F58" s="11"/>
      <c r="G58" s="3"/>
    </row>
    <row r="59" spans="1:7" ht="24">
      <c r="A59" s="98"/>
      <c r="B59" s="71"/>
      <c r="E59" s="9"/>
      <c r="F59" s="11"/>
      <c r="G59" s="3"/>
    </row>
    <row r="60" spans="1:7" ht="24">
      <c r="A60" s="98"/>
      <c r="B60" s="71"/>
      <c r="E60" s="9"/>
      <c r="F60" s="11"/>
      <c r="G60" s="3"/>
    </row>
    <row r="61" spans="1:7" s="1" customFormat="1" ht="24">
      <c r="A61" s="8" t="s">
        <v>103</v>
      </c>
      <c r="D61" s="3"/>
      <c r="F61" s="11"/>
      <c r="G61" s="3"/>
    </row>
    <row r="62" spans="1:7" s="1" customFormat="1" ht="24">
      <c r="A62" s="8" t="s">
        <v>86</v>
      </c>
      <c r="D62" s="3"/>
      <c r="E62" s="217"/>
      <c r="F62" s="11"/>
      <c r="G62" s="3"/>
    </row>
    <row r="63" spans="1:7" ht="24">
      <c r="A63" s="16" t="s">
        <v>380</v>
      </c>
      <c r="E63" s="218"/>
      <c r="F63" s="11"/>
      <c r="G63" s="3"/>
    </row>
    <row r="64" spans="5:7" ht="24">
      <c r="E64" s="218"/>
      <c r="F64" s="11"/>
      <c r="G64" s="3"/>
    </row>
    <row r="65" spans="5:7" ht="24">
      <c r="E65" s="218"/>
      <c r="F65" s="11"/>
      <c r="G65" s="3"/>
    </row>
    <row r="66" spans="1:7" s="1" customFormat="1" ht="24">
      <c r="A66" s="1" t="s">
        <v>358</v>
      </c>
      <c r="D66" s="3"/>
      <c r="F66" s="5"/>
      <c r="G66" s="3">
        <f>SUM(G42-A6353+G63)</f>
        <v>224330.44</v>
      </c>
    </row>
    <row r="67" spans="1:7" ht="24">
      <c r="A67" s="20" t="s">
        <v>87</v>
      </c>
      <c r="B67" s="20"/>
      <c r="C67" s="20"/>
      <c r="D67" s="21" t="s">
        <v>88</v>
      </c>
      <c r="E67" s="20"/>
      <c r="F67" s="20"/>
      <c r="G67" s="22"/>
    </row>
    <row r="68" ht="24">
      <c r="D68" s="23"/>
    </row>
    <row r="69" ht="24">
      <c r="D69" s="23"/>
    </row>
    <row r="70" spans="1:4" ht="24">
      <c r="A70" s="16" t="s">
        <v>356</v>
      </c>
      <c r="D70" s="23" t="s">
        <v>361</v>
      </c>
    </row>
    <row r="71" spans="1:4" ht="24">
      <c r="A71" s="16" t="s">
        <v>197</v>
      </c>
      <c r="D71" s="23" t="s">
        <v>262</v>
      </c>
    </row>
    <row r="72" ht="24">
      <c r="D72" s="23"/>
    </row>
    <row r="73" spans="4:7" s="61" customFormat="1" ht="24">
      <c r="D73" s="60"/>
      <c r="G73" s="60"/>
    </row>
    <row r="74" spans="1:8" s="1" customFormat="1" ht="24">
      <c r="A74" s="1" t="s">
        <v>100</v>
      </c>
      <c r="C74" s="2" t="s">
        <v>263</v>
      </c>
      <c r="D74" s="3"/>
      <c r="G74" s="3"/>
      <c r="H74" s="1">
        <v>3</v>
      </c>
    </row>
    <row r="75" spans="3:7" s="1" customFormat="1" ht="24">
      <c r="C75" s="2" t="s">
        <v>264</v>
      </c>
      <c r="D75" s="3"/>
      <c r="G75" s="3"/>
    </row>
    <row r="76" spans="1:7" s="1" customFormat="1" ht="24">
      <c r="A76" s="1" t="s">
        <v>80</v>
      </c>
      <c r="C76" s="2"/>
      <c r="D76" s="3"/>
      <c r="G76" s="3"/>
    </row>
    <row r="77" spans="1:7" s="1" customFormat="1" ht="24">
      <c r="A77" s="4"/>
      <c r="B77" s="4"/>
      <c r="C77" s="5"/>
      <c r="D77" s="6"/>
      <c r="E77" s="4"/>
      <c r="F77" s="4"/>
      <c r="G77" s="6"/>
    </row>
    <row r="78" spans="1:7" s="1" customFormat="1" ht="24">
      <c r="A78" s="1" t="s">
        <v>359</v>
      </c>
      <c r="D78" s="3"/>
      <c r="F78" s="7"/>
      <c r="G78" s="3">
        <v>10111074</v>
      </c>
    </row>
    <row r="79" spans="1:7" s="1" customFormat="1" ht="24">
      <c r="A79" s="8" t="s">
        <v>101</v>
      </c>
      <c r="D79" s="3"/>
      <c r="F79" s="2"/>
      <c r="G79" s="3"/>
    </row>
    <row r="80" spans="1:7" s="9" customFormat="1" ht="24">
      <c r="A80" s="9" t="s">
        <v>81</v>
      </c>
      <c r="B80" s="9" t="s">
        <v>82</v>
      </c>
      <c r="D80" s="10" t="s">
        <v>83</v>
      </c>
      <c r="F80" s="11"/>
      <c r="G80" s="10"/>
    </row>
    <row r="81" spans="4:7" s="9" customFormat="1" ht="24">
      <c r="D81" s="10"/>
      <c r="F81" s="11"/>
      <c r="G81" s="10"/>
    </row>
    <row r="82" spans="4:7" s="9" customFormat="1" ht="24">
      <c r="D82" s="10"/>
      <c r="F82" s="11"/>
      <c r="G82" s="10"/>
    </row>
    <row r="83" spans="1:7" ht="24">
      <c r="A83" s="9"/>
      <c r="B83" s="9"/>
      <c r="C83" s="9"/>
      <c r="D83" s="10"/>
      <c r="E83" s="9"/>
      <c r="F83" s="11"/>
      <c r="G83" s="10"/>
    </row>
    <row r="84" spans="1:7" ht="24">
      <c r="A84" s="9"/>
      <c r="B84" s="9"/>
      <c r="C84" s="9"/>
      <c r="D84" s="10"/>
      <c r="E84" s="9"/>
      <c r="F84" s="11"/>
      <c r="G84" s="10"/>
    </row>
    <row r="85" ht="24">
      <c r="F85" s="11"/>
    </row>
    <row r="86" spans="1:7" s="1" customFormat="1" ht="24">
      <c r="A86" s="8" t="s">
        <v>102</v>
      </c>
      <c r="D86" s="3"/>
      <c r="F86" s="11"/>
      <c r="G86" s="3"/>
    </row>
    <row r="87" spans="1:7" s="9" customFormat="1" ht="24">
      <c r="A87" s="9" t="s">
        <v>84</v>
      </c>
      <c r="B87" s="9" t="s">
        <v>85</v>
      </c>
      <c r="D87" s="10" t="s">
        <v>83</v>
      </c>
      <c r="E87" s="1"/>
      <c r="F87" s="11"/>
      <c r="G87" s="10"/>
    </row>
    <row r="88" spans="6:7" s="9" customFormat="1" ht="24">
      <c r="F88" s="11"/>
      <c r="G88" s="10"/>
    </row>
    <row r="89" spans="6:7" s="9" customFormat="1" ht="24">
      <c r="F89" s="11"/>
      <c r="G89" s="10"/>
    </row>
    <row r="90" spans="6:7" s="9" customFormat="1" ht="24">
      <c r="F90" s="11"/>
      <c r="G90" s="10"/>
    </row>
    <row r="91" spans="1:7" ht="24">
      <c r="A91" s="9"/>
      <c r="B91" s="9"/>
      <c r="C91" s="9"/>
      <c r="D91" s="9"/>
      <c r="E91" s="9"/>
      <c r="F91" s="11"/>
      <c r="G91" s="10"/>
    </row>
    <row r="92" spans="1:7" ht="24">
      <c r="A92" s="9"/>
      <c r="B92" s="9"/>
      <c r="C92" s="9"/>
      <c r="D92" s="9"/>
      <c r="E92" s="9"/>
      <c r="F92" s="11"/>
      <c r="G92" s="10"/>
    </row>
    <row r="93" spans="1:7" ht="24">
      <c r="A93" s="9"/>
      <c r="B93" s="9"/>
      <c r="C93" s="9"/>
      <c r="D93" s="9"/>
      <c r="E93" s="9"/>
      <c r="F93" s="11"/>
      <c r="G93" s="10"/>
    </row>
    <row r="94" spans="1:7" ht="24">
      <c r="A94" s="9"/>
      <c r="B94" s="9"/>
      <c r="C94" s="9"/>
      <c r="D94" s="9"/>
      <c r="E94" s="9"/>
      <c r="F94" s="11"/>
      <c r="G94" s="10"/>
    </row>
    <row r="95" spans="1:7" ht="24">
      <c r="A95" s="9"/>
      <c r="B95" s="9"/>
      <c r="C95" s="9"/>
      <c r="D95" s="9"/>
      <c r="E95" s="9"/>
      <c r="F95" s="11"/>
      <c r="G95" s="10"/>
    </row>
    <row r="96" spans="1:7" ht="24">
      <c r="A96" s="9"/>
      <c r="B96" s="9"/>
      <c r="C96" s="9"/>
      <c r="D96" s="9"/>
      <c r="E96" s="9"/>
      <c r="F96" s="11"/>
      <c r="G96" s="10"/>
    </row>
    <row r="97" spans="1:6" ht="24">
      <c r="A97" s="98"/>
      <c r="B97" s="71"/>
      <c r="F97" s="11"/>
    </row>
    <row r="98" spans="1:7" s="1" customFormat="1" ht="24">
      <c r="A98" s="8" t="s">
        <v>103</v>
      </c>
      <c r="D98" s="3"/>
      <c r="F98" s="11"/>
      <c r="G98" s="3"/>
    </row>
    <row r="99" spans="1:7" s="1" customFormat="1" ht="24">
      <c r="A99" s="8" t="s">
        <v>86</v>
      </c>
      <c r="D99" s="3"/>
      <c r="F99" s="11"/>
      <c r="G99" s="3"/>
    </row>
    <row r="100" spans="5:7" ht="24">
      <c r="E100" s="1"/>
      <c r="F100" s="11"/>
      <c r="G100" s="3"/>
    </row>
    <row r="101" spans="5:7" ht="24">
      <c r="E101" s="1"/>
      <c r="F101" s="11"/>
      <c r="G101" s="3"/>
    </row>
    <row r="102" spans="5:7" ht="24">
      <c r="E102" s="1"/>
      <c r="F102" s="11"/>
      <c r="G102" s="3"/>
    </row>
    <row r="103" spans="1:7" s="1" customFormat="1" ht="24">
      <c r="A103" s="1" t="s">
        <v>381</v>
      </c>
      <c r="D103" s="3"/>
      <c r="F103" s="5"/>
      <c r="G103" s="3">
        <f>SUM(G78-G100)</f>
        <v>10111074</v>
      </c>
    </row>
    <row r="104" spans="1:7" ht="24">
      <c r="A104" s="20" t="s">
        <v>87</v>
      </c>
      <c r="B104" s="20"/>
      <c r="C104" s="20"/>
      <c r="D104" s="21" t="s">
        <v>88</v>
      </c>
      <c r="E104" s="20"/>
      <c r="F104" s="20"/>
      <c r="G104" s="22"/>
    </row>
    <row r="105" ht="24">
      <c r="D105" s="23"/>
    </row>
    <row r="106" spans="1:4" ht="24">
      <c r="A106" s="16" t="s">
        <v>356</v>
      </c>
      <c r="D106" s="23" t="s">
        <v>360</v>
      </c>
    </row>
    <row r="107" spans="1:4" ht="24">
      <c r="A107" s="16" t="s">
        <v>197</v>
      </c>
      <c r="D107" s="23" t="s">
        <v>265</v>
      </c>
    </row>
    <row r="108" ht="24">
      <c r="D108" s="23"/>
    </row>
    <row r="110" spans="1:8" s="1" customFormat="1" ht="24">
      <c r="A110" s="1" t="s">
        <v>100</v>
      </c>
      <c r="C110" s="2" t="s">
        <v>141</v>
      </c>
      <c r="D110" s="3"/>
      <c r="G110" s="3"/>
      <c r="H110" s="1">
        <v>4</v>
      </c>
    </row>
    <row r="111" spans="3:7" s="1" customFormat="1" ht="24">
      <c r="C111" s="2" t="s">
        <v>142</v>
      </c>
      <c r="D111" s="3"/>
      <c r="G111" s="3"/>
    </row>
    <row r="112" spans="1:7" s="1" customFormat="1" ht="24">
      <c r="A112" s="1" t="s">
        <v>80</v>
      </c>
      <c r="C112" s="2"/>
      <c r="D112" s="3"/>
      <c r="G112" s="3"/>
    </row>
    <row r="113" spans="1:7" s="1" customFormat="1" ht="24">
      <c r="A113" s="4"/>
      <c r="B113" s="4"/>
      <c r="C113" s="5"/>
      <c r="D113" s="6"/>
      <c r="E113" s="4"/>
      <c r="F113" s="4"/>
      <c r="G113" s="6"/>
    </row>
    <row r="114" spans="1:7" s="1" customFormat="1" ht="24">
      <c r="A114" s="1" t="s">
        <v>359</v>
      </c>
      <c r="D114" s="3"/>
      <c r="F114" s="7"/>
      <c r="G114" s="3">
        <v>5335201.6</v>
      </c>
    </row>
    <row r="115" spans="1:7" s="1" customFormat="1" ht="24">
      <c r="A115" s="8" t="s">
        <v>101</v>
      </c>
      <c r="D115" s="3"/>
      <c r="F115" s="2"/>
      <c r="G115" s="3"/>
    </row>
    <row r="116" spans="1:7" s="9" customFormat="1" ht="24">
      <c r="A116" s="9" t="s">
        <v>81</v>
      </c>
      <c r="B116" s="9" t="s">
        <v>82</v>
      </c>
      <c r="D116" s="10" t="s">
        <v>83</v>
      </c>
      <c r="F116" s="11"/>
      <c r="G116" s="10"/>
    </row>
    <row r="117" spans="1:7" ht="24">
      <c r="A117" s="98"/>
      <c r="B117" s="98"/>
      <c r="E117" s="9"/>
      <c r="F117" s="11"/>
      <c r="G117" s="10"/>
    </row>
    <row r="118" spans="1:7" ht="24">
      <c r="A118" s="98"/>
      <c r="B118" s="98"/>
      <c r="E118" s="9"/>
      <c r="F118" s="11"/>
      <c r="G118" s="10"/>
    </row>
    <row r="119" spans="1:7" ht="24">
      <c r="A119" s="98"/>
      <c r="E119" s="9"/>
      <c r="F119" s="11"/>
      <c r="G119" s="10"/>
    </row>
    <row r="120" spans="1:7" ht="24">
      <c r="A120" s="98"/>
      <c r="E120" s="9"/>
      <c r="F120" s="11"/>
      <c r="G120" s="10"/>
    </row>
    <row r="121" ht="24">
      <c r="F121" s="18"/>
    </row>
    <row r="122" spans="1:7" s="1" customFormat="1" ht="24">
      <c r="A122" s="8" t="s">
        <v>102</v>
      </c>
      <c r="D122" s="3"/>
      <c r="F122" s="2"/>
      <c r="G122" s="3"/>
    </row>
    <row r="123" spans="1:7" s="9" customFormat="1" ht="24">
      <c r="A123" s="9" t="s">
        <v>84</v>
      </c>
      <c r="B123" s="9" t="s">
        <v>85</v>
      </c>
      <c r="D123" s="10" t="s">
        <v>83</v>
      </c>
      <c r="F123" s="11"/>
      <c r="G123" s="10"/>
    </row>
    <row r="124" spans="1:7" ht="24">
      <c r="A124" s="98"/>
      <c r="B124" s="98"/>
      <c r="D124" s="216"/>
      <c r="E124" s="9"/>
      <c r="F124" s="11"/>
      <c r="G124" s="10"/>
    </row>
    <row r="125" spans="1:7" ht="24">
      <c r="A125" s="98"/>
      <c r="B125" s="98"/>
      <c r="E125" s="9"/>
      <c r="F125" s="11"/>
      <c r="G125" s="10"/>
    </row>
    <row r="126" spans="1:7" ht="24">
      <c r="A126" s="98"/>
      <c r="B126" s="98"/>
      <c r="E126" s="9"/>
      <c r="F126" s="11"/>
      <c r="G126" s="10"/>
    </row>
    <row r="127" spans="1:7" ht="24">
      <c r="A127" s="98"/>
      <c r="B127" s="98"/>
      <c r="D127" s="213"/>
      <c r="E127" s="9"/>
      <c r="F127" s="11"/>
      <c r="G127" s="10"/>
    </row>
    <row r="128" spans="1:7" ht="24">
      <c r="A128" s="98"/>
      <c r="B128" s="98"/>
      <c r="D128" s="213"/>
      <c r="E128" s="9"/>
      <c r="F128" s="11"/>
      <c r="G128" s="10"/>
    </row>
    <row r="129" spans="1:7" ht="24">
      <c r="A129" s="98"/>
      <c r="B129" s="98"/>
      <c r="D129" s="213"/>
      <c r="E129" s="9"/>
      <c r="F129" s="11"/>
      <c r="G129" s="10"/>
    </row>
    <row r="130" spans="1:7" ht="24">
      <c r="A130" s="98"/>
      <c r="B130" s="98"/>
      <c r="D130" s="213"/>
      <c r="E130" s="9"/>
      <c r="F130" s="11"/>
      <c r="G130" s="10"/>
    </row>
    <row r="131" spans="1:7" s="1" customFormat="1" ht="24">
      <c r="A131" s="8" t="s">
        <v>103</v>
      </c>
      <c r="D131" s="3"/>
      <c r="F131" s="2"/>
      <c r="G131" s="3"/>
    </row>
    <row r="132" spans="1:7" s="1" customFormat="1" ht="24">
      <c r="A132" s="8" t="s">
        <v>86</v>
      </c>
      <c r="D132" s="3"/>
      <c r="F132" s="2"/>
      <c r="G132" s="3"/>
    </row>
    <row r="133" spans="1:7" s="1" customFormat="1" ht="24">
      <c r="A133" s="50"/>
      <c r="D133" s="3"/>
      <c r="F133" s="2"/>
      <c r="G133" s="3"/>
    </row>
    <row r="134" spans="1:7" s="1" customFormat="1" ht="24">
      <c r="A134" s="50"/>
      <c r="D134" s="3"/>
      <c r="F134" s="2"/>
      <c r="G134" s="3"/>
    </row>
    <row r="135" spans="1:7" ht="24">
      <c r="A135" s="50"/>
      <c r="B135" s="1"/>
      <c r="C135" s="1"/>
      <c r="D135" s="3"/>
      <c r="E135" s="1"/>
      <c r="F135" s="2"/>
      <c r="G135" s="3"/>
    </row>
    <row r="136" spans="1:7" ht="24">
      <c r="A136" s="50"/>
      <c r="B136" s="1"/>
      <c r="C136" s="1"/>
      <c r="D136" s="3"/>
      <c r="E136" s="1"/>
      <c r="F136" s="2"/>
      <c r="G136" s="3"/>
    </row>
    <row r="137" spans="1:7" s="1" customFormat="1" ht="24">
      <c r="A137" s="1" t="s">
        <v>358</v>
      </c>
      <c r="D137" s="3"/>
      <c r="F137" s="5"/>
      <c r="G137" s="3">
        <f>SUM(G114-G117-G135-G124-G125-G135-G133)</f>
        <v>5335201.6</v>
      </c>
    </row>
    <row r="138" spans="1:7" ht="24">
      <c r="A138" s="20" t="s">
        <v>87</v>
      </c>
      <c r="B138" s="20"/>
      <c r="C138" s="20"/>
      <c r="D138" s="21" t="s">
        <v>88</v>
      </c>
      <c r="E138" s="20"/>
      <c r="F138" s="20"/>
      <c r="G138" s="22"/>
    </row>
    <row r="139" ht="24">
      <c r="D139" s="23"/>
    </row>
    <row r="140" ht="24">
      <c r="D140" s="23"/>
    </row>
    <row r="141" spans="1:4" ht="24">
      <c r="A141" s="16" t="s">
        <v>356</v>
      </c>
      <c r="D141" s="23" t="s">
        <v>357</v>
      </c>
    </row>
    <row r="142" spans="1:4" ht="24">
      <c r="A142" s="16" t="s">
        <v>197</v>
      </c>
      <c r="D142" s="23" t="s">
        <v>262</v>
      </c>
    </row>
    <row r="143" ht="24">
      <c r="D143" s="23"/>
    </row>
    <row r="146" spans="1:8" s="1" customFormat="1" ht="24">
      <c r="A146" s="1" t="s">
        <v>100</v>
      </c>
      <c r="C146" s="2" t="s">
        <v>141</v>
      </c>
      <c r="D146" s="3"/>
      <c r="G146" s="3"/>
      <c r="H146" s="1">
        <v>5</v>
      </c>
    </row>
    <row r="147" spans="3:7" s="1" customFormat="1" ht="24">
      <c r="C147" s="2" t="s">
        <v>321</v>
      </c>
      <c r="D147" s="3"/>
      <c r="G147" s="3"/>
    </row>
    <row r="148" spans="1:7" s="1" customFormat="1" ht="24">
      <c r="A148" s="1" t="s">
        <v>80</v>
      </c>
      <c r="C148" s="2"/>
      <c r="D148" s="3"/>
      <c r="G148" s="3"/>
    </row>
    <row r="149" spans="1:7" s="1" customFormat="1" ht="24">
      <c r="A149" s="4"/>
      <c r="B149" s="4"/>
      <c r="C149" s="5"/>
      <c r="D149" s="6"/>
      <c r="E149" s="4"/>
      <c r="F149" s="4"/>
      <c r="G149" s="6"/>
    </row>
    <row r="150" spans="1:7" s="1" customFormat="1" ht="24">
      <c r="A150" s="1" t="s">
        <v>317</v>
      </c>
      <c r="D150" s="3"/>
      <c r="F150" s="7"/>
      <c r="G150" s="3">
        <v>3010939.44</v>
      </c>
    </row>
    <row r="151" spans="1:7" s="1" customFormat="1" ht="24">
      <c r="A151" s="8" t="s">
        <v>101</v>
      </c>
      <c r="D151" s="3"/>
      <c r="F151" s="2"/>
      <c r="G151" s="3"/>
    </row>
    <row r="152" spans="1:7" s="9" customFormat="1" ht="24">
      <c r="A152" s="9" t="s">
        <v>81</v>
      </c>
      <c r="B152" s="9" t="s">
        <v>82</v>
      </c>
      <c r="D152" s="10" t="s">
        <v>83</v>
      </c>
      <c r="F152" s="11"/>
      <c r="G152" s="10"/>
    </row>
    <row r="153" spans="1:7" ht="24">
      <c r="A153" s="98"/>
      <c r="B153" s="209"/>
      <c r="C153" s="211"/>
      <c r="D153" s="212"/>
      <c r="E153" s="13"/>
      <c r="F153" s="15"/>
      <c r="G153" s="14"/>
    </row>
    <row r="154" spans="1:7" ht="24">
      <c r="A154" s="12"/>
      <c r="B154" s="12"/>
      <c r="C154" s="13"/>
      <c r="D154" s="14"/>
      <c r="E154" s="13"/>
      <c r="F154" s="15"/>
      <c r="G154" s="14"/>
    </row>
    <row r="155" spans="1:7" ht="24">
      <c r="A155" s="12"/>
      <c r="B155" s="13"/>
      <c r="C155" s="13"/>
      <c r="D155" s="14"/>
      <c r="E155" s="13"/>
      <c r="F155" s="15"/>
      <c r="G155" s="14"/>
    </row>
    <row r="156" spans="1:7" ht="24">
      <c r="A156" s="12"/>
      <c r="B156" s="13"/>
      <c r="C156" s="13"/>
      <c r="D156" s="14"/>
      <c r="E156" s="13"/>
      <c r="F156" s="15"/>
      <c r="G156" s="14"/>
    </row>
    <row r="157" ht="24">
      <c r="F157" s="18"/>
    </row>
    <row r="158" spans="1:7" s="1" customFormat="1" ht="24">
      <c r="A158" s="8" t="s">
        <v>102</v>
      </c>
      <c r="D158" s="3"/>
      <c r="F158" s="2"/>
      <c r="G158" s="3"/>
    </row>
    <row r="159" spans="1:7" s="9" customFormat="1" ht="24">
      <c r="A159" s="9" t="s">
        <v>84</v>
      </c>
      <c r="B159" s="9" t="s">
        <v>85</v>
      </c>
      <c r="D159" s="10" t="s">
        <v>83</v>
      </c>
      <c r="F159" s="11"/>
      <c r="G159" s="10"/>
    </row>
    <row r="160" spans="1:7" ht="24">
      <c r="A160" s="102"/>
      <c r="B160" s="102"/>
      <c r="D160" s="206"/>
      <c r="E160" s="13"/>
      <c r="F160" s="15"/>
      <c r="G160" s="214"/>
    </row>
    <row r="161" spans="1:7" ht="24">
      <c r="A161" s="98"/>
      <c r="B161" s="98"/>
      <c r="E161" s="13"/>
      <c r="F161" s="15"/>
      <c r="G161" s="130"/>
    </row>
    <row r="162" spans="1:7" ht="24">
      <c r="A162" s="98"/>
      <c r="B162" s="98"/>
      <c r="E162" s="13"/>
      <c r="F162" s="15"/>
      <c r="G162" s="130"/>
    </row>
    <row r="163" spans="1:7" ht="24">
      <c r="A163" s="98"/>
      <c r="B163" s="98"/>
      <c r="D163" s="213"/>
      <c r="E163" s="13"/>
      <c r="F163" s="15"/>
      <c r="G163" s="14"/>
    </row>
    <row r="164" spans="1:7" ht="24">
      <c r="A164" s="98"/>
      <c r="B164" s="98"/>
      <c r="D164" s="213"/>
      <c r="E164" s="13"/>
      <c r="F164" s="15"/>
      <c r="G164" s="14"/>
    </row>
    <row r="165" spans="1:7" ht="24">
      <c r="A165" s="98"/>
      <c r="B165" s="98"/>
      <c r="D165" s="213"/>
      <c r="E165" s="13"/>
      <c r="F165" s="15"/>
      <c r="G165" s="14"/>
    </row>
    <row r="166" spans="1:7" ht="24">
      <c r="A166" s="209"/>
      <c r="B166" s="210"/>
      <c r="C166" s="211"/>
      <c r="D166" s="212"/>
      <c r="E166" s="13"/>
      <c r="F166" s="15"/>
      <c r="G166" s="14"/>
    </row>
    <row r="167" spans="1:7" s="1" customFormat="1" ht="24">
      <c r="A167" s="8" t="s">
        <v>103</v>
      </c>
      <c r="D167" s="3"/>
      <c r="F167" s="2"/>
      <c r="G167" s="3"/>
    </row>
    <row r="168" spans="1:7" s="1" customFormat="1" ht="24">
      <c r="A168" s="8" t="s">
        <v>86</v>
      </c>
      <c r="D168" s="3"/>
      <c r="F168" s="2"/>
      <c r="G168" s="3"/>
    </row>
    <row r="169" spans="1:7" s="1" customFormat="1" ht="24">
      <c r="A169" s="8"/>
      <c r="D169" s="3"/>
      <c r="F169" s="2"/>
      <c r="G169" s="3"/>
    </row>
    <row r="170" spans="1:7" s="1" customFormat="1" ht="24">
      <c r="A170" s="8"/>
      <c r="D170" s="3"/>
      <c r="F170" s="2"/>
      <c r="G170" s="3"/>
    </row>
    <row r="171" spans="1:7" ht="24">
      <c r="A171" s="13"/>
      <c r="B171" s="1"/>
      <c r="C171" s="13"/>
      <c r="D171" s="3"/>
      <c r="E171" s="13"/>
      <c r="F171" s="15"/>
      <c r="G171" s="215"/>
    </row>
    <row r="172" spans="1:7" ht="24">
      <c r="A172" s="13"/>
      <c r="B172" s="13"/>
      <c r="C172" s="13"/>
      <c r="D172" s="14"/>
      <c r="E172" s="13"/>
      <c r="F172" s="15"/>
      <c r="G172" s="14"/>
    </row>
    <row r="173" spans="1:7" s="1" customFormat="1" ht="24">
      <c r="A173" s="1" t="s">
        <v>318</v>
      </c>
      <c r="D173" s="3"/>
      <c r="F173" s="5"/>
      <c r="G173" s="3">
        <f>SUM(G150-G153-G171-G160-G161-G171+G169)</f>
        <v>3010939.44</v>
      </c>
    </row>
    <row r="174" spans="1:7" ht="24">
      <c r="A174" s="20" t="s">
        <v>87</v>
      </c>
      <c r="B174" s="20"/>
      <c r="C174" s="20"/>
      <c r="D174" s="21" t="s">
        <v>88</v>
      </c>
      <c r="E174" s="20"/>
      <c r="F174" s="20"/>
      <c r="G174" s="22"/>
    </row>
    <row r="175" ht="24">
      <c r="D175" s="23"/>
    </row>
    <row r="176" ht="24">
      <c r="D176" s="23"/>
    </row>
    <row r="177" spans="1:4" ht="24">
      <c r="A177" s="16" t="s">
        <v>319</v>
      </c>
      <c r="D177" s="23" t="s">
        <v>320</v>
      </c>
    </row>
    <row r="178" spans="1:4" ht="24">
      <c r="A178" s="16" t="s">
        <v>197</v>
      </c>
      <c r="D178" s="23" t="s">
        <v>262</v>
      </c>
    </row>
    <row r="179" ht="24">
      <c r="D179" s="23"/>
    </row>
    <row r="181" spans="4:7" s="61" customFormat="1" ht="24">
      <c r="D181" s="60"/>
      <c r="G181" s="60"/>
    </row>
    <row r="182" spans="1:8" s="74" customFormat="1" ht="24">
      <c r="A182" s="104" t="s">
        <v>100</v>
      </c>
      <c r="B182" s="104"/>
      <c r="C182" s="105" t="s">
        <v>141</v>
      </c>
      <c r="D182" s="106"/>
      <c r="E182" s="104"/>
      <c r="F182" s="104"/>
      <c r="G182" s="106"/>
      <c r="H182" s="74">
        <v>6</v>
      </c>
    </row>
    <row r="183" spans="1:10" s="74" customFormat="1" ht="24">
      <c r="A183" s="104"/>
      <c r="B183" s="104"/>
      <c r="C183" s="105" t="s">
        <v>142</v>
      </c>
      <c r="D183" s="106"/>
      <c r="E183" s="104"/>
      <c r="F183" s="104"/>
      <c r="G183" s="106"/>
      <c r="J183" s="74" t="s">
        <v>208</v>
      </c>
    </row>
    <row r="184" spans="1:7" s="74" customFormat="1" ht="24">
      <c r="A184" s="104" t="s">
        <v>80</v>
      </c>
      <c r="B184" s="104"/>
      <c r="C184" s="105"/>
      <c r="D184" s="106"/>
      <c r="E184" s="104"/>
      <c r="F184" s="104"/>
      <c r="G184" s="106"/>
    </row>
    <row r="185" spans="1:7" s="74" customFormat="1" ht="24">
      <c r="A185" s="107"/>
      <c r="B185" s="107"/>
      <c r="C185" s="108"/>
      <c r="D185" s="109"/>
      <c r="E185" s="107"/>
      <c r="F185" s="107"/>
      <c r="G185" s="109"/>
    </row>
    <row r="186" spans="1:7" s="74" customFormat="1" ht="24">
      <c r="A186" s="104" t="s">
        <v>204</v>
      </c>
      <c r="B186" s="104"/>
      <c r="C186" s="104"/>
      <c r="D186" s="106"/>
      <c r="E186" s="104"/>
      <c r="F186" s="110"/>
      <c r="G186" s="106">
        <v>4659135.62</v>
      </c>
    </row>
    <row r="187" spans="1:7" s="74" customFormat="1" ht="24">
      <c r="A187" s="111" t="s">
        <v>211</v>
      </c>
      <c r="B187" s="104"/>
      <c r="C187" s="104"/>
      <c r="D187" s="106"/>
      <c r="E187" s="104"/>
      <c r="F187" s="105"/>
      <c r="G187" s="106"/>
    </row>
    <row r="188" spans="1:7" s="82" customFormat="1" ht="24">
      <c r="A188" s="112" t="s">
        <v>81</v>
      </c>
      <c r="B188" s="112" t="s">
        <v>82</v>
      </c>
      <c r="C188" s="112"/>
      <c r="D188" s="113" t="s">
        <v>83</v>
      </c>
      <c r="E188" s="112"/>
      <c r="F188" s="114"/>
      <c r="G188" s="113"/>
    </row>
    <row r="189" spans="1:7" s="61" customFormat="1" ht="24">
      <c r="A189" s="115"/>
      <c r="B189" s="115"/>
      <c r="C189" s="116"/>
      <c r="D189" s="103"/>
      <c r="E189" s="116"/>
      <c r="F189" s="117"/>
      <c r="G189" s="103"/>
    </row>
    <row r="190" spans="1:7" s="61" customFormat="1" ht="24">
      <c r="A190" s="115"/>
      <c r="B190" s="115"/>
      <c r="C190" s="116"/>
      <c r="D190" s="103"/>
      <c r="E190" s="116"/>
      <c r="F190" s="117"/>
      <c r="G190" s="103"/>
    </row>
    <row r="191" spans="1:7" s="61" customFormat="1" ht="24">
      <c r="A191" s="115"/>
      <c r="B191" s="115"/>
      <c r="C191" s="116"/>
      <c r="D191" s="103"/>
      <c r="E191" s="116"/>
      <c r="F191" s="117"/>
      <c r="G191" s="103"/>
    </row>
    <row r="192" spans="1:7" s="61" customFormat="1" ht="24">
      <c r="A192" s="115"/>
      <c r="B192" s="116"/>
      <c r="C192" s="116"/>
      <c r="D192" s="103"/>
      <c r="E192" s="116"/>
      <c r="F192" s="117"/>
      <c r="G192" s="103"/>
    </row>
    <row r="193" spans="1:7" s="61" customFormat="1" ht="24">
      <c r="A193" s="115"/>
      <c r="B193" s="116"/>
      <c r="C193" s="116"/>
      <c r="D193" s="103"/>
      <c r="E193" s="116"/>
      <c r="F193" s="117"/>
      <c r="G193" s="103"/>
    </row>
    <row r="194" spans="1:7" s="61" customFormat="1" ht="24">
      <c r="A194" s="118"/>
      <c r="B194" s="118"/>
      <c r="C194" s="118"/>
      <c r="D194" s="119"/>
      <c r="E194" s="118"/>
      <c r="F194" s="120"/>
      <c r="G194" s="119"/>
    </row>
    <row r="195" spans="1:7" s="74" customFormat="1" ht="24">
      <c r="A195" s="111" t="s">
        <v>212</v>
      </c>
      <c r="B195" s="104"/>
      <c r="C195" s="104"/>
      <c r="D195" s="106"/>
      <c r="E195" s="104"/>
      <c r="F195" s="105"/>
      <c r="G195" s="106"/>
    </row>
    <row r="196" spans="1:7" s="82" customFormat="1" ht="24">
      <c r="A196" s="127" t="s">
        <v>84</v>
      </c>
      <c r="B196" s="127" t="s">
        <v>85</v>
      </c>
      <c r="C196" s="127"/>
      <c r="D196" s="128" t="s">
        <v>83</v>
      </c>
      <c r="E196" s="112"/>
      <c r="F196" s="114"/>
      <c r="G196" s="113"/>
    </row>
    <row r="197" spans="1:7" s="61" customFormat="1" ht="24">
      <c r="A197" s="122" t="s">
        <v>97</v>
      </c>
      <c r="B197" s="122" t="s">
        <v>97</v>
      </c>
      <c r="C197" s="118"/>
      <c r="D197" s="119" t="s">
        <v>97</v>
      </c>
      <c r="E197" s="116"/>
      <c r="F197" s="117"/>
      <c r="G197" s="103">
        <f>SUM(D197:D198)</f>
        <v>0</v>
      </c>
    </row>
    <row r="198" spans="1:7" s="61" customFormat="1" ht="24">
      <c r="A198" s="115" t="s">
        <v>97</v>
      </c>
      <c r="B198" s="115" t="s">
        <v>97</v>
      </c>
      <c r="C198" s="116"/>
      <c r="D198" s="103" t="s">
        <v>97</v>
      </c>
      <c r="E198" s="116"/>
      <c r="F198" s="117"/>
      <c r="G198" s="103" t="s">
        <v>97</v>
      </c>
    </row>
    <row r="199" spans="1:7" s="61" customFormat="1" ht="24">
      <c r="A199" s="115"/>
      <c r="B199" s="121"/>
      <c r="C199" s="116"/>
      <c r="D199" s="103"/>
      <c r="E199" s="116"/>
      <c r="F199" s="117"/>
      <c r="G199" s="103"/>
    </row>
    <row r="200" spans="1:7" s="61" customFormat="1" ht="24">
      <c r="A200" s="115"/>
      <c r="B200" s="121"/>
      <c r="C200" s="116"/>
      <c r="D200" s="103"/>
      <c r="E200" s="116"/>
      <c r="F200" s="117"/>
      <c r="G200" s="103"/>
    </row>
    <row r="201" spans="1:7" s="61" customFormat="1" ht="24">
      <c r="A201" s="115"/>
      <c r="B201" s="121"/>
      <c r="C201" s="116"/>
      <c r="D201" s="103"/>
      <c r="E201" s="116"/>
      <c r="F201" s="117"/>
      <c r="G201" s="103"/>
    </row>
    <row r="202" spans="1:7" s="61" customFormat="1" ht="24">
      <c r="A202" s="115"/>
      <c r="B202" s="121"/>
      <c r="C202" s="116"/>
      <c r="D202" s="103"/>
      <c r="E202" s="116"/>
      <c r="F202" s="117"/>
      <c r="G202" s="103"/>
    </row>
    <row r="203" spans="1:7" s="61" customFormat="1" ht="24">
      <c r="A203" s="115"/>
      <c r="B203" s="121"/>
      <c r="C203" s="116"/>
      <c r="D203" s="103"/>
      <c r="E203" s="116"/>
      <c r="F203" s="117"/>
      <c r="G203" s="103"/>
    </row>
    <row r="204" spans="1:7" s="74" customFormat="1" ht="24">
      <c r="A204" s="111" t="s">
        <v>213</v>
      </c>
      <c r="B204" s="104"/>
      <c r="C204" s="104"/>
      <c r="D204" s="106"/>
      <c r="E204" s="104"/>
      <c r="F204" s="105"/>
      <c r="G204" s="106"/>
    </row>
    <row r="205" spans="1:7" s="74" customFormat="1" ht="24">
      <c r="A205" s="111" t="s">
        <v>86</v>
      </c>
      <c r="B205" s="104"/>
      <c r="C205" s="104"/>
      <c r="D205" s="106"/>
      <c r="E205" s="104"/>
      <c r="F205" s="105"/>
      <c r="G205" s="106"/>
    </row>
    <row r="206" spans="1:7" s="61" customFormat="1" ht="24">
      <c r="A206" s="116"/>
      <c r="B206" s="121"/>
      <c r="C206" s="116"/>
      <c r="D206" s="103"/>
      <c r="E206" s="116"/>
      <c r="F206" s="117"/>
      <c r="G206" s="103"/>
    </row>
    <row r="207" spans="1:7" s="61" customFormat="1" ht="24">
      <c r="A207" s="116"/>
      <c r="B207" s="116"/>
      <c r="C207" s="116"/>
      <c r="D207" s="103"/>
      <c r="E207" s="116"/>
      <c r="F207" s="117"/>
      <c r="G207" s="103"/>
    </row>
    <row r="208" spans="1:7" s="74" customFormat="1" ht="24">
      <c r="A208" s="104" t="s">
        <v>210</v>
      </c>
      <c r="B208" s="104"/>
      <c r="C208" s="104"/>
      <c r="D208" s="106"/>
      <c r="E208" s="104"/>
      <c r="F208" s="108"/>
      <c r="G208" s="106">
        <f>(G186-G197+G206)</f>
        <v>4659135.62</v>
      </c>
    </row>
    <row r="209" spans="1:7" s="61" customFormat="1" ht="24">
      <c r="A209" s="123" t="s">
        <v>87</v>
      </c>
      <c r="B209" s="123"/>
      <c r="C209" s="123"/>
      <c r="D209" s="124" t="s">
        <v>88</v>
      </c>
      <c r="E209" s="123"/>
      <c r="F209" s="123"/>
      <c r="G209" s="125"/>
    </row>
    <row r="210" spans="1:7" s="61" customFormat="1" ht="24">
      <c r="A210" s="118"/>
      <c r="B210" s="118"/>
      <c r="C210" s="118"/>
      <c r="D210" s="126"/>
      <c r="E210" s="118"/>
      <c r="F210" s="118"/>
      <c r="G210" s="119"/>
    </row>
    <row r="211" spans="1:7" s="61" customFormat="1" ht="24">
      <c r="A211" s="118"/>
      <c r="B211" s="118"/>
      <c r="C211" s="118"/>
      <c r="D211" s="126"/>
      <c r="E211" s="118"/>
      <c r="F211" s="118"/>
      <c r="G211" s="119"/>
    </row>
    <row r="212" spans="1:7" s="61" customFormat="1" ht="24">
      <c r="A212" s="118" t="s">
        <v>206</v>
      </c>
      <c r="B212" s="118"/>
      <c r="C212" s="118"/>
      <c r="D212" s="126" t="s">
        <v>209</v>
      </c>
      <c r="E212" s="118"/>
      <c r="F212" s="118"/>
      <c r="G212" s="119"/>
    </row>
    <row r="213" spans="1:7" s="61" customFormat="1" ht="24">
      <c r="A213" s="118" t="s">
        <v>197</v>
      </c>
      <c r="B213" s="118"/>
      <c r="C213" s="118"/>
      <c r="D213" s="126" t="s">
        <v>90</v>
      </c>
      <c r="E213" s="118"/>
      <c r="F213" s="118"/>
      <c r="G213" s="119"/>
    </row>
    <row r="214" spans="1:7" s="61" customFormat="1" ht="24">
      <c r="A214" s="118"/>
      <c r="B214" s="118"/>
      <c r="C214" s="118"/>
      <c r="D214" s="119"/>
      <c r="E214" s="118"/>
      <c r="F214" s="118"/>
      <c r="G214" s="119"/>
    </row>
    <row r="215" spans="1:7" s="61" customFormat="1" ht="24">
      <c r="A215" s="118"/>
      <c r="B215" s="118"/>
      <c r="C215" s="118"/>
      <c r="D215" s="119"/>
      <c r="E215" s="118"/>
      <c r="F215" s="118"/>
      <c r="G215" s="119"/>
    </row>
    <row r="216" spans="1:7" s="61" customFormat="1" ht="24">
      <c r="A216" s="118"/>
      <c r="B216" s="118"/>
      <c r="C216" s="118"/>
      <c r="D216" s="119"/>
      <c r="E216" s="118"/>
      <c r="F216" s="118"/>
      <c r="G216" s="119"/>
    </row>
    <row r="217" spans="1:7" s="61" customFormat="1" ht="24">
      <c r="A217" s="118"/>
      <c r="B217" s="118"/>
      <c r="C217" s="118"/>
      <c r="D217" s="119"/>
      <c r="E217" s="118"/>
      <c r="F217" s="118"/>
      <c r="G217" s="119"/>
    </row>
    <row r="218" spans="1:8" s="74" customFormat="1" ht="24">
      <c r="A218" s="104" t="s">
        <v>100</v>
      </c>
      <c r="B218" s="104"/>
      <c r="C218" s="105" t="s">
        <v>141</v>
      </c>
      <c r="D218" s="106"/>
      <c r="E218" s="104"/>
      <c r="F218" s="104"/>
      <c r="G218" s="106"/>
      <c r="H218" s="74">
        <v>7</v>
      </c>
    </row>
    <row r="219" spans="1:13" s="74" customFormat="1" ht="24">
      <c r="A219" s="104"/>
      <c r="B219" s="104"/>
      <c r="C219" s="105" t="s">
        <v>166</v>
      </c>
      <c r="D219" s="106"/>
      <c r="E219" s="104"/>
      <c r="F219" s="104"/>
      <c r="G219" s="106"/>
      <c r="J219" s="74" t="s">
        <v>208</v>
      </c>
      <c r="M219" s="74" t="s">
        <v>214</v>
      </c>
    </row>
    <row r="220" spans="1:7" s="74" customFormat="1" ht="24">
      <c r="A220" s="104" t="s">
        <v>80</v>
      </c>
      <c r="B220" s="104"/>
      <c r="C220" s="105"/>
      <c r="D220" s="106"/>
      <c r="E220" s="104"/>
      <c r="F220" s="104"/>
      <c r="G220" s="106"/>
    </row>
    <row r="221" spans="1:7" s="74" customFormat="1" ht="24">
      <c r="A221" s="107"/>
      <c r="B221" s="107"/>
      <c r="C221" s="108"/>
      <c r="D221" s="109"/>
      <c r="E221" s="107"/>
      <c r="F221" s="107"/>
      <c r="G221" s="109"/>
    </row>
    <row r="222" spans="1:7" s="74" customFormat="1" ht="24">
      <c r="A222" s="104" t="s">
        <v>204</v>
      </c>
      <c r="B222" s="104"/>
      <c r="C222" s="104"/>
      <c r="D222" s="106"/>
      <c r="E222" s="104"/>
      <c r="F222" s="110"/>
      <c r="G222" s="106">
        <v>701665.07</v>
      </c>
    </row>
    <row r="223" spans="1:7" s="74" customFormat="1" ht="24">
      <c r="A223" s="111" t="s">
        <v>211</v>
      </c>
      <c r="B223" s="104"/>
      <c r="C223" s="104"/>
      <c r="D223" s="106"/>
      <c r="E223" s="104"/>
      <c r="F223" s="105"/>
      <c r="G223" s="106"/>
    </row>
    <row r="224" spans="1:7" s="82" customFormat="1" ht="24">
      <c r="A224" s="112" t="s">
        <v>81</v>
      </c>
      <c r="B224" s="112" t="s">
        <v>82</v>
      </c>
      <c r="C224" s="112"/>
      <c r="D224" s="113" t="s">
        <v>83</v>
      </c>
      <c r="E224" s="112"/>
      <c r="F224" s="114"/>
      <c r="G224" s="113"/>
    </row>
    <row r="225" spans="1:7" s="61" customFormat="1" ht="24">
      <c r="A225" s="115"/>
      <c r="B225" s="115"/>
      <c r="C225" s="116"/>
      <c r="D225" s="103"/>
      <c r="E225" s="116"/>
      <c r="F225" s="117"/>
      <c r="G225" s="103"/>
    </row>
    <row r="226" spans="1:7" s="61" customFormat="1" ht="24">
      <c r="A226" s="115"/>
      <c r="B226" s="115"/>
      <c r="C226" s="116"/>
      <c r="D226" s="103"/>
      <c r="E226" s="116"/>
      <c r="F226" s="117"/>
      <c r="G226" s="103"/>
    </row>
    <row r="227" spans="1:7" s="61" customFormat="1" ht="24">
      <c r="A227" s="115"/>
      <c r="B227" s="115"/>
      <c r="C227" s="116"/>
      <c r="D227" s="103"/>
      <c r="E227" s="116"/>
      <c r="F227" s="117"/>
      <c r="G227" s="103"/>
    </row>
    <row r="228" spans="1:7" s="61" customFormat="1" ht="24">
      <c r="A228" s="115"/>
      <c r="B228" s="116"/>
      <c r="C228" s="116"/>
      <c r="D228" s="103"/>
      <c r="E228" s="116"/>
      <c r="F228" s="117"/>
      <c r="G228" s="103"/>
    </row>
    <row r="229" spans="1:7" s="61" customFormat="1" ht="24">
      <c r="A229" s="115"/>
      <c r="B229" s="116"/>
      <c r="C229" s="116"/>
      <c r="D229" s="103"/>
      <c r="E229" s="116"/>
      <c r="F229" s="117"/>
      <c r="G229" s="103"/>
    </row>
    <row r="230" spans="1:7" s="61" customFormat="1" ht="24">
      <c r="A230" s="118"/>
      <c r="B230" s="118"/>
      <c r="C230" s="118"/>
      <c r="D230" s="119"/>
      <c r="E230" s="118"/>
      <c r="F230" s="120"/>
      <c r="G230" s="119"/>
    </row>
    <row r="231" spans="1:7" s="74" customFormat="1" ht="24">
      <c r="A231" s="111" t="s">
        <v>212</v>
      </c>
      <c r="B231" s="104"/>
      <c r="C231" s="104"/>
      <c r="D231" s="106"/>
      <c r="E231" s="104"/>
      <c r="F231" s="105"/>
      <c r="G231" s="106"/>
    </row>
    <row r="232" spans="1:10" s="82" customFormat="1" ht="24">
      <c r="A232" s="127" t="s">
        <v>84</v>
      </c>
      <c r="B232" s="127" t="s">
        <v>85</v>
      </c>
      <c r="C232" s="127"/>
      <c r="D232" s="128" t="s">
        <v>83</v>
      </c>
      <c r="E232" s="112"/>
      <c r="F232" s="114"/>
      <c r="G232" s="113"/>
      <c r="J232" s="82" t="s">
        <v>97</v>
      </c>
    </row>
    <row r="233" spans="1:7" s="61" customFormat="1" ht="24">
      <c r="A233" s="122" t="s">
        <v>97</v>
      </c>
      <c r="B233" s="122" t="s">
        <v>97</v>
      </c>
      <c r="C233" s="118"/>
      <c r="D233" s="119" t="s">
        <v>97</v>
      </c>
      <c r="E233" s="116"/>
      <c r="F233" s="117"/>
      <c r="G233" s="103">
        <f>SUM(D233:D234)</f>
        <v>0</v>
      </c>
    </row>
    <row r="234" spans="1:7" s="61" customFormat="1" ht="24">
      <c r="A234" s="115"/>
      <c r="B234" s="115" t="s">
        <v>97</v>
      </c>
      <c r="C234" s="116"/>
      <c r="D234" s="103" t="s">
        <v>97</v>
      </c>
      <c r="E234" s="116"/>
      <c r="F234" s="117"/>
      <c r="G234" s="103" t="s">
        <v>97</v>
      </c>
    </row>
    <row r="235" spans="1:7" s="61" customFormat="1" ht="24">
      <c r="A235" s="115"/>
      <c r="B235" s="121"/>
      <c r="C235" s="116"/>
      <c r="D235" s="103"/>
      <c r="E235" s="116"/>
      <c r="F235" s="117"/>
      <c r="G235" s="103"/>
    </row>
    <row r="236" spans="1:7" s="61" customFormat="1" ht="24">
      <c r="A236" s="115"/>
      <c r="B236" s="121"/>
      <c r="C236" s="116"/>
      <c r="D236" s="103"/>
      <c r="E236" s="116"/>
      <c r="F236" s="117"/>
      <c r="G236" s="103"/>
    </row>
    <row r="237" spans="1:7" s="61" customFormat="1" ht="24">
      <c r="A237" s="115"/>
      <c r="B237" s="121"/>
      <c r="C237" s="116"/>
      <c r="D237" s="103"/>
      <c r="E237" s="116"/>
      <c r="F237" s="117"/>
      <c r="G237" s="103"/>
    </row>
    <row r="238" spans="1:7" s="61" customFormat="1" ht="24">
      <c r="A238" s="115"/>
      <c r="B238" s="121"/>
      <c r="C238" s="116"/>
      <c r="D238" s="103"/>
      <c r="E238" s="116"/>
      <c r="F238" s="117"/>
      <c r="G238" s="103"/>
    </row>
    <row r="239" spans="1:7" s="61" customFormat="1" ht="24">
      <c r="A239" s="115"/>
      <c r="B239" s="121"/>
      <c r="C239" s="116"/>
      <c r="D239" s="103"/>
      <c r="E239" s="116"/>
      <c r="F239" s="117"/>
      <c r="G239" s="103"/>
    </row>
    <row r="240" spans="1:7" s="74" customFormat="1" ht="24">
      <c r="A240" s="111" t="s">
        <v>213</v>
      </c>
      <c r="B240" s="104"/>
      <c r="C240" s="104"/>
      <c r="D240" s="106"/>
      <c r="E240" s="104"/>
      <c r="F240" s="105"/>
      <c r="G240" s="106"/>
    </row>
    <row r="241" spans="1:7" s="74" customFormat="1" ht="24">
      <c r="A241" s="111" t="s">
        <v>86</v>
      </c>
      <c r="B241" s="104"/>
      <c r="C241" s="104"/>
      <c r="D241" s="106"/>
      <c r="E241" s="104"/>
      <c r="F241" s="105"/>
      <c r="G241" s="106"/>
    </row>
    <row r="242" spans="1:7" s="61" customFormat="1" ht="24">
      <c r="A242" s="116" t="s">
        <v>179</v>
      </c>
      <c r="B242" s="121" t="s">
        <v>139</v>
      </c>
      <c r="C242" s="116"/>
      <c r="D242" s="103" t="s">
        <v>97</v>
      </c>
      <c r="E242" s="116"/>
      <c r="F242" s="117"/>
      <c r="G242" s="103">
        <v>0</v>
      </c>
    </row>
    <row r="243" spans="1:7" s="61" customFormat="1" ht="24">
      <c r="A243" s="116"/>
      <c r="B243" s="116"/>
      <c r="C243" s="116"/>
      <c r="D243" s="103"/>
      <c r="E243" s="116"/>
      <c r="F243" s="117"/>
      <c r="G243" s="103"/>
    </row>
    <row r="244" spans="1:7" s="74" customFormat="1" ht="24">
      <c r="A244" s="104" t="s">
        <v>205</v>
      </c>
      <c r="B244" s="104"/>
      <c r="C244" s="104"/>
      <c r="D244" s="106"/>
      <c r="E244" s="104"/>
      <c r="F244" s="108"/>
      <c r="G244" s="106">
        <f>(G222+G233)</f>
        <v>701665.07</v>
      </c>
    </row>
    <row r="245" spans="1:7" s="61" customFormat="1" ht="24">
      <c r="A245" s="123" t="s">
        <v>87</v>
      </c>
      <c r="B245" s="123"/>
      <c r="C245" s="123"/>
      <c r="D245" s="124" t="s">
        <v>88</v>
      </c>
      <c r="E245" s="123"/>
      <c r="F245" s="123"/>
      <c r="G245" s="125"/>
    </row>
    <row r="246" spans="1:7" s="61" customFormat="1" ht="24">
      <c r="A246" s="118"/>
      <c r="B246" s="118"/>
      <c r="C246" s="118"/>
      <c r="D246" s="126"/>
      <c r="E246" s="118"/>
      <c r="F246" s="118"/>
      <c r="G246" s="119"/>
    </row>
    <row r="247" spans="1:7" s="61" customFormat="1" ht="24">
      <c r="A247" s="118"/>
      <c r="B247" s="118"/>
      <c r="C247" s="118"/>
      <c r="D247" s="126"/>
      <c r="E247" s="118"/>
      <c r="F247" s="118"/>
      <c r="G247" s="119"/>
    </row>
    <row r="248" spans="1:7" s="61" customFormat="1" ht="24">
      <c r="A248" s="118" t="s">
        <v>206</v>
      </c>
      <c r="B248" s="118"/>
      <c r="C248" s="118"/>
      <c r="D248" s="126" t="s">
        <v>207</v>
      </c>
      <c r="E248" s="118"/>
      <c r="F248" s="118"/>
      <c r="G248" s="119"/>
    </row>
    <row r="249" spans="1:7" s="61" customFormat="1" ht="24">
      <c r="A249" s="118" t="s">
        <v>197</v>
      </c>
      <c r="B249" s="118"/>
      <c r="C249" s="118"/>
      <c r="D249" s="126" t="s">
        <v>90</v>
      </c>
      <c r="E249" s="118"/>
      <c r="F249" s="118"/>
      <c r="G249" s="119"/>
    </row>
    <row r="250" spans="4:7" s="61" customFormat="1" ht="24">
      <c r="D250" s="60"/>
      <c r="G250" s="60"/>
    </row>
    <row r="251" spans="4:7" s="61" customFormat="1" ht="24">
      <c r="D251" s="60"/>
      <c r="G251" s="60"/>
    </row>
    <row r="252" spans="4:7" s="61" customFormat="1" ht="24">
      <c r="D252" s="60"/>
      <c r="G252" s="60"/>
    </row>
    <row r="253" spans="1:8" s="74" customFormat="1" ht="24">
      <c r="A253" s="74" t="s">
        <v>100</v>
      </c>
      <c r="C253" s="75" t="s">
        <v>117</v>
      </c>
      <c r="D253" s="76"/>
      <c r="G253" s="76"/>
      <c r="H253" s="74">
        <v>8</v>
      </c>
    </row>
    <row r="254" spans="3:7" s="74" customFormat="1" ht="24">
      <c r="C254" s="75" t="s">
        <v>121</v>
      </c>
      <c r="D254" s="76"/>
      <c r="G254" s="76"/>
    </row>
    <row r="255" spans="1:7" s="74" customFormat="1" ht="24">
      <c r="A255" s="74" t="s">
        <v>80</v>
      </c>
      <c r="C255" s="75"/>
      <c r="D255" s="76"/>
      <c r="G255" s="76"/>
    </row>
    <row r="256" spans="1:9" s="74" customFormat="1" ht="24">
      <c r="A256" s="77"/>
      <c r="B256" s="77"/>
      <c r="C256" s="78"/>
      <c r="D256" s="79"/>
      <c r="E256" s="77"/>
      <c r="F256" s="77"/>
      <c r="G256" s="79"/>
      <c r="I256" s="74" t="s">
        <v>157</v>
      </c>
    </row>
    <row r="257" spans="1:7" s="74" customFormat="1" ht="24">
      <c r="A257" s="74" t="s">
        <v>158</v>
      </c>
      <c r="D257" s="76"/>
      <c r="F257" s="80"/>
      <c r="G257" s="76">
        <v>12976252.07</v>
      </c>
    </row>
    <row r="258" spans="1:7" s="74" customFormat="1" ht="24">
      <c r="A258" s="81" t="s">
        <v>180</v>
      </c>
      <c r="D258" s="76"/>
      <c r="F258" s="75"/>
      <c r="G258" s="76"/>
    </row>
    <row r="259" spans="1:7" s="82" customFormat="1" ht="24">
      <c r="A259" s="82" t="s">
        <v>81</v>
      </c>
      <c r="B259" s="82" t="s">
        <v>82</v>
      </c>
      <c r="D259" s="83" t="s">
        <v>83</v>
      </c>
      <c r="F259" s="84"/>
      <c r="G259" s="83"/>
    </row>
    <row r="260" spans="1:7" s="61" customFormat="1" ht="24">
      <c r="A260" s="85"/>
      <c r="B260" s="85"/>
      <c r="C260" s="86"/>
      <c r="D260" s="87"/>
      <c r="E260" s="86"/>
      <c r="F260" s="88"/>
      <c r="G260" s="87"/>
    </row>
    <row r="261" spans="1:7" s="61" customFormat="1" ht="24">
      <c r="A261" s="85"/>
      <c r="B261" s="85"/>
      <c r="C261" s="86"/>
      <c r="D261" s="87"/>
      <c r="E261" s="86"/>
      <c r="F261" s="88"/>
      <c r="G261" s="87"/>
    </row>
    <row r="262" spans="1:7" s="61" customFormat="1" ht="24">
      <c r="A262" s="85"/>
      <c r="B262" s="85"/>
      <c r="C262" s="86"/>
      <c r="D262" s="87"/>
      <c r="E262" s="86"/>
      <c r="F262" s="88"/>
      <c r="G262" s="87"/>
    </row>
    <row r="263" spans="1:7" s="61" customFormat="1" ht="24">
      <c r="A263" s="85"/>
      <c r="B263" s="86"/>
      <c r="C263" s="86"/>
      <c r="D263" s="87"/>
      <c r="E263" s="86"/>
      <c r="F263" s="88"/>
      <c r="G263" s="87"/>
    </row>
    <row r="264" spans="1:7" s="61" customFormat="1" ht="24">
      <c r="A264" s="85"/>
      <c r="B264" s="86"/>
      <c r="C264" s="86"/>
      <c r="D264" s="87"/>
      <c r="E264" s="86"/>
      <c r="F264" s="88"/>
      <c r="G264" s="87"/>
    </row>
    <row r="265" spans="4:7" s="61" customFormat="1" ht="24">
      <c r="D265" s="60"/>
      <c r="F265" s="89"/>
      <c r="G265" s="60"/>
    </row>
    <row r="266" spans="1:7" s="74" customFormat="1" ht="24">
      <c r="A266" s="81" t="s">
        <v>181</v>
      </c>
      <c r="D266" s="76"/>
      <c r="F266" s="75"/>
      <c r="G266" s="76"/>
    </row>
    <row r="267" spans="1:7" s="82" customFormat="1" ht="24">
      <c r="A267" s="82" t="s">
        <v>84</v>
      </c>
      <c r="B267" s="82" t="s">
        <v>85</v>
      </c>
      <c r="D267" s="83" t="s">
        <v>83</v>
      </c>
      <c r="F267" s="84"/>
      <c r="G267" s="83"/>
    </row>
    <row r="268" spans="1:7" s="61" customFormat="1" ht="24">
      <c r="A268" s="85"/>
      <c r="B268" s="90"/>
      <c r="C268" s="86"/>
      <c r="D268" s="87"/>
      <c r="E268" s="86"/>
      <c r="F268" s="88"/>
      <c r="G268" s="87">
        <f>SUM(D268:D274)</f>
        <v>574509.87</v>
      </c>
    </row>
    <row r="269" spans="1:7" s="61" customFormat="1" ht="24">
      <c r="A269" s="85" t="s">
        <v>174</v>
      </c>
      <c r="B269" s="90"/>
      <c r="C269" s="86"/>
      <c r="D269" s="87">
        <v>574509.87</v>
      </c>
      <c r="E269" s="86"/>
      <c r="F269" s="88"/>
      <c r="G269" s="87"/>
    </row>
    <row r="270" spans="1:7" s="61" customFormat="1" ht="24">
      <c r="A270" s="85"/>
      <c r="B270" s="90"/>
      <c r="C270" s="86"/>
      <c r="D270" s="87"/>
      <c r="E270" s="86"/>
      <c r="F270" s="88"/>
      <c r="G270" s="87"/>
    </row>
    <row r="271" spans="1:7" s="61" customFormat="1" ht="24">
      <c r="A271" s="85" t="s">
        <v>97</v>
      </c>
      <c r="B271" s="90" t="s">
        <v>97</v>
      </c>
      <c r="C271" s="86" t="s">
        <v>97</v>
      </c>
      <c r="D271" s="87" t="s">
        <v>97</v>
      </c>
      <c r="E271" s="86"/>
      <c r="F271" s="88"/>
      <c r="G271" s="87"/>
    </row>
    <row r="272" spans="1:7" s="61" customFormat="1" ht="24">
      <c r="A272" s="85"/>
      <c r="B272" s="90"/>
      <c r="C272" s="86"/>
      <c r="D272" s="87"/>
      <c r="E272" s="86"/>
      <c r="F272" s="88"/>
      <c r="G272" s="87"/>
    </row>
    <row r="273" spans="1:7" s="61" customFormat="1" ht="24">
      <c r="A273" s="85"/>
      <c r="B273" s="90"/>
      <c r="C273" s="86"/>
      <c r="D273" s="87"/>
      <c r="E273" s="86"/>
      <c r="F273" s="88"/>
      <c r="G273" s="87"/>
    </row>
    <row r="274" spans="1:7" s="61" customFormat="1" ht="24">
      <c r="A274" s="85"/>
      <c r="B274" s="90"/>
      <c r="C274" s="86"/>
      <c r="D274" s="87"/>
      <c r="E274" s="86"/>
      <c r="F274" s="88"/>
      <c r="G274" s="87"/>
    </row>
    <row r="275" spans="1:7" s="74" customFormat="1" ht="24">
      <c r="A275" s="81" t="s">
        <v>182</v>
      </c>
      <c r="D275" s="76"/>
      <c r="F275" s="75"/>
      <c r="G275" s="76"/>
    </row>
    <row r="276" spans="1:7" s="74" customFormat="1" ht="24">
      <c r="A276" s="81" t="s">
        <v>86</v>
      </c>
      <c r="D276" s="76"/>
      <c r="F276" s="75"/>
      <c r="G276" s="76"/>
    </row>
    <row r="277" spans="1:7" s="61" customFormat="1" ht="24">
      <c r="A277" s="86" t="s">
        <v>97</v>
      </c>
      <c r="B277" s="86"/>
      <c r="C277" s="86"/>
      <c r="D277" s="87" t="s">
        <v>97</v>
      </c>
      <c r="E277" s="86"/>
      <c r="F277" s="88"/>
      <c r="G277" s="87" t="s">
        <v>97</v>
      </c>
    </row>
    <row r="278" spans="1:7" s="61" customFormat="1" ht="24">
      <c r="A278" s="86" t="s">
        <v>97</v>
      </c>
      <c r="B278" s="86"/>
      <c r="C278" s="86"/>
      <c r="D278" s="87" t="s">
        <v>97</v>
      </c>
      <c r="E278" s="86"/>
      <c r="F278" s="88"/>
      <c r="G278" s="87" t="s">
        <v>97</v>
      </c>
    </row>
    <row r="279" spans="1:7" s="61" customFormat="1" ht="24">
      <c r="A279" s="86"/>
      <c r="B279" s="86"/>
      <c r="C279" s="86"/>
      <c r="D279" s="87"/>
      <c r="E279" s="86"/>
      <c r="F279" s="88"/>
      <c r="G279" s="87"/>
    </row>
    <row r="280" spans="1:7" s="74" customFormat="1" ht="24">
      <c r="A280" s="74" t="s">
        <v>164</v>
      </c>
      <c r="D280" s="76"/>
      <c r="F280" s="78"/>
      <c r="G280" s="76">
        <f>SUM(G257-G268)</f>
        <v>12401742.200000001</v>
      </c>
    </row>
    <row r="281" spans="1:7" s="61" customFormat="1" ht="24">
      <c r="A281" s="91" t="s">
        <v>87</v>
      </c>
      <c r="B281" s="91"/>
      <c r="C281" s="91"/>
      <c r="D281" s="92" t="s">
        <v>88</v>
      </c>
      <c r="E281" s="91"/>
      <c r="F281" s="91"/>
      <c r="G281" s="93"/>
    </row>
    <row r="282" spans="4:7" s="61" customFormat="1" ht="24">
      <c r="D282" s="94"/>
      <c r="G282" s="60"/>
    </row>
    <row r="283" spans="1:7" s="61" customFormat="1" ht="24">
      <c r="A283" s="61" t="s">
        <v>165</v>
      </c>
      <c r="D283" s="94" t="s">
        <v>165</v>
      </c>
      <c r="G283" s="60"/>
    </row>
    <row r="284" spans="1:7" s="61" customFormat="1" ht="24">
      <c r="A284" s="61" t="s">
        <v>89</v>
      </c>
      <c r="D284" s="94" t="s">
        <v>90</v>
      </c>
      <c r="G284" s="60"/>
    </row>
    <row r="285" spans="4:7" s="61" customFormat="1" ht="24">
      <c r="D285" s="60"/>
      <c r="G285" s="60"/>
    </row>
    <row r="286" spans="4:7" s="61" customFormat="1" ht="24">
      <c r="D286" s="60"/>
      <c r="G286" s="60"/>
    </row>
    <row r="287" spans="4:7" s="61" customFormat="1" ht="24">
      <c r="D287" s="60"/>
      <c r="G287" s="60"/>
    </row>
    <row r="288" spans="4:7" s="61" customFormat="1" ht="24">
      <c r="D288" s="60"/>
      <c r="G288" s="60"/>
    </row>
    <row r="289" spans="1:8" s="74" customFormat="1" ht="24">
      <c r="A289" s="74" t="s">
        <v>100</v>
      </c>
      <c r="C289" s="75" t="s">
        <v>141</v>
      </c>
      <c r="D289" s="76"/>
      <c r="G289" s="76"/>
      <c r="H289" s="74">
        <v>9</v>
      </c>
    </row>
    <row r="290" spans="3:9" s="74" customFormat="1" ht="24">
      <c r="C290" s="75" t="s">
        <v>166</v>
      </c>
      <c r="D290" s="76"/>
      <c r="G290" s="76"/>
      <c r="I290" s="74" t="s">
        <v>157</v>
      </c>
    </row>
    <row r="291" spans="1:7" s="74" customFormat="1" ht="24">
      <c r="A291" s="74" t="s">
        <v>80</v>
      </c>
      <c r="C291" s="75"/>
      <c r="D291" s="76"/>
      <c r="G291" s="76"/>
    </row>
    <row r="292" spans="1:7" s="74" customFormat="1" ht="24">
      <c r="A292" s="77"/>
      <c r="B292" s="77"/>
      <c r="C292" s="78"/>
      <c r="D292" s="79"/>
      <c r="E292" s="77"/>
      <c r="F292" s="77"/>
      <c r="G292" s="79"/>
    </row>
    <row r="293" spans="1:7" s="74" customFormat="1" ht="24">
      <c r="A293" s="74" t="s">
        <v>158</v>
      </c>
      <c r="D293" s="76"/>
      <c r="F293" s="80"/>
      <c r="G293" s="76">
        <v>1471297.75</v>
      </c>
    </row>
    <row r="294" spans="1:7" s="74" customFormat="1" ht="24">
      <c r="A294" s="81" t="s">
        <v>180</v>
      </c>
      <c r="D294" s="76"/>
      <c r="F294" s="75"/>
      <c r="G294" s="76"/>
    </row>
    <row r="295" spans="1:7" s="82" customFormat="1" ht="24">
      <c r="A295" s="82" t="s">
        <v>81</v>
      </c>
      <c r="B295" s="82" t="s">
        <v>82</v>
      </c>
      <c r="D295" s="83" t="s">
        <v>83</v>
      </c>
      <c r="F295" s="84"/>
      <c r="G295" s="83"/>
    </row>
    <row r="296" spans="1:7" s="61" customFormat="1" ht="24">
      <c r="A296" s="85"/>
      <c r="B296" s="85"/>
      <c r="C296" s="86"/>
      <c r="D296" s="87"/>
      <c r="E296" s="86"/>
      <c r="F296" s="88"/>
      <c r="G296" s="87"/>
    </row>
    <row r="297" spans="1:7" s="61" customFormat="1" ht="24">
      <c r="A297" s="85"/>
      <c r="B297" s="85"/>
      <c r="C297" s="86"/>
      <c r="D297" s="87"/>
      <c r="E297" s="86"/>
      <c r="F297" s="88"/>
      <c r="G297" s="87"/>
    </row>
    <row r="298" spans="1:7" s="61" customFormat="1" ht="24">
      <c r="A298" s="85"/>
      <c r="B298" s="85"/>
      <c r="C298" s="86"/>
      <c r="D298" s="87"/>
      <c r="E298" s="86"/>
      <c r="F298" s="88"/>
      <c r="G298" s="87"/>
    </row>
    <row r="299" spans="1:7" s="61" customFormat="1" ht="24">
      <c r="A299" s="85"/>
      <c r="B299" s="86"/>
      <c r="C299" s="86"/>
      <c r="D299" s="87"/>
      <c r="E299" s="86"/>
      <c r="F299" s="88"/>
      <c r="G299" s="87"/>
    </row>
    <row r="300" spans="1:7" s="61" customFormat="1" ht="24">
      <c r="A300" s="85"/>
      <c r="B300" s="86"/>
      <c r="C300" s="86"/>
      <c r="D300" s="87"/>
      <c r="E300" s="86"/>
      <c r="F300" s="88"/>
      <c r="G300" s="87"/>
    </row>
    <row r="301" spans="4:7" s="61" customFormat="1" ht="24">
      <c r="D301" s="60"/>
      <c r="F301" s="89"/>
      <c r="G301" s="60"/>
    </row>
    <row r="302" spans="1:7" s="74" customFormat="1" ht="24">
      <c r="A302" s="81" t="s">
        <v>181</v>
      </c>
      <c r="D302" s="76"/>
      <c r="F302" s="75"/>
      <c r="G302" s="76"/>
    </row>
    <row r="303" spans="1:7" s="82" customFormat="1" ht="24">
      <c r="A303" s="95" t="s">
        <v>84</v>
      </c>
      <c r="B303" s="95" t="s">
        <v>85</v>
      </c>
      <c r="C303" s="95"/>
      <c r="D303" s="96" t="s">
        <v>83</v>
      </c>
      <c r="F303" s="84"/>
      <c r="G303" s="83"/>
    </row>
    <row r="304" spans="1:7" s="61" customFormat="1" ht="24">
      <c r="A304" s="97" t="s">
        <v>97</v>
      </c>
      <c r="B304" s="97" t="s">
        <v>97</v>
      </c>
      <c r="D304" s="60" t="s">
        <v>97</v>
      </c>
      <c r="E304" s="86"/>
      <c r="F304" s="88"/>
      <c r="G304" s="87">
        <f>SUM(D304:D305)</f>
        <v>10712.78</v>
      </c>
    </row>
    <row r="305" spans="1:7" s="61" customFormat="1" ht="24">
      <c r="A305" s="85" t="s">
        <v>175</v>
      </c>
      <c r="B305" s="85" t="s">
        <v>97</v>
      </c>
      <c r="C305" s="86"/>
      <c r="D305" s="87">
        <v>10712.78</v>
      </c>
      <c r="E305" s="86"/>
      <c r="F305" s="88"/>
      <c r="G305" s="87" t="s">
        <v>97</v>
      </c>
    </row>
    <row r="306" spans="1:7" s="61" customFormat="1" ht="24">
      <c r="A306" s="85"/>
      <c r="B306" s="90"/>
      <c r="C306" s="86"/>
      <c r="D306" s="87"/>
      <c r="E306" s="86"/>
      <c r="F306" s="88"/>
      <c r="G306" s="87"/>
    </row>
    <row r="307" spans="1:7" s="61" customFormat="1" ht="24">
      <c r="A307" s="85"/>
      <c r="B307" s="90"/>
      <c r="C307" s="86"/>
      <c r="D307" s="87"/>
      <c r="E307" s="86"/>
      <c r="F307" s="88"/>
      <c r="G307" s="87"/>
    </row>
    <row r="308" spans="1:7" s="61" customFormat="1" ht="24">
      <c r="A308" s="85"/>
      <c r="B308" s="90"/>
      <c r="C308" s="86"/>
      <c r="D308" s="87"/>
      <c r="E308" s="86"/>
      <c r="F308" s="88"/>
      <c r="G308" s="87"/>
    </row>
    <row r="309" spans="1:7" s="61" customFormat="1" ht="24">
      <c r="A309" s="85"/>
      <c r="B309" s="90"/>
      <c r="C309" s="86"/>
      <c r="D309" s="87"/>
      <c r="E309" s="86"/>
      <c r="F309" s="88"/>
      <c r="G309" s="87"/>
    </row>
    <row r="310" spans="1:7" s="61" customFormat="1" ht="24">
      <c r="A310" s="85"/>
      <c r="B310" s="90"/>
      <c r="C310" s="86"/>
      <c r="D310" s="87"/>
      <c r="E310" s="86"/>
      <c r="F310" s="88"/>
      <c r="G310" s="87"/>
    </row>
    <row r="311" spans="1:7" s="74" customFormat="1" ht="24">
      <c r="A311" s="81" t="s">
        <v>182</v>
      </c>
      <c r="D311" s="76"/>
      <c r="F311" s="75"/>
      <c r="G311" s="76"/>
    </row>
    <row r="312" spans="1:7" s="74" customFormat="1" ht="24">
      <c r="A312" s="81" t="s">
        <v>86</v>
      </c>
      <c r="D312" s="76"/>
      <c r="F312" s="75"/>
      <c r="G312" s="76"/>
    </row>
    <row r="313" spans="1:7" s="61" customFormat="1" ht="24">
      <c r="A313" s="86" t="s">
        <v>167</v>
      </c>
      <c r="B313" s="90" t="s">
        <v>139</v>
      </c>
      <c r="C313" s="86"/>
      <c r="D313" s="87">
        <v>728411.66</v>
      </c>
      <c r="E313" s="86"/>
      <c r="F313" s="88"/>
      <c r="G313" s="87">
        <v>728411.66</v>
      </c>
    </row>
    <row r="314" spans="1:7" s="61" customFormat="1" ht="24">
      <c r="A314" s="86"/>
      <c r="B314" s="86"/>
      <c r="C314" s="86"/>
      <c r="D314" s="87"/>
      <c r="E314" s="86"/>
      <c r="F314" s="88"/>
      <c r="G314" s="87"/>
    </row>
    <row r="315" spans="1:7" s="74" customFormat="1" ht="24">
      <c r="A315" s="74" t="s">
        <v>159</v>
      </c>
      <c r="D315" s="76"/>
      <c r="F315" s="78"/>
      <c r="G315" s="76">
        <f>(G293-G304-G313)</f>
        <v>732173.3099999999</v>
      </c>
    </row>
    <row r="316" spans="1:7" s="61" customFormat="1" ht="24">
      <c r="A316" s="91" t="s">
        <v>87</v>
      </c>
      <c r="B316" s="91"/>
      <c r="C316" s="91"/>
      <c r="D316" s="92" t="s">
        <v>88</v>
      </c>
      <c r="E316" s="91"/>
      <c r="F316" s="91"/>
      <c r="G316" s="93"/>
    </row>
    <row r="317" spans="4:7" s="61" customFormat="1" ht="24">
      <c r="D317" s="94"/>
      <c r="G317" s="60"/>
    </row>
    <row r="318" spans="4:7" s="61" customFormat="1" ht="24">
      <c r="D318" s="94"/>
      <c r="G318" s="60"/>
    </row>
    <row r="319" spans="1:7" s="61" customFormat="1" ht="24">
      <c r="A319" s="61" t="s">
        <v>162</v>
      </c>
      <c r="D319" s="94" t="s">
        <v>161</v>
      </c>
      <c r="G319" s="60"/>
    </row>
    <row r="320" spans="1:7" s="61" customFormat="1" ht="24">
      <c r="A320" s="61" t="s">
        <v>89</v>
      </c>
      <c r="D320" s="94" t="s">
        <v>90</v>
      </c>
      <c r="G320" s="60"/>
    </row>
    <row r="321" spans="4:7" s="61" customFormat="1" ht="24">
      <c r="D321" s="60"/>
      <c r="G321" s="60"/>
    </row>
    <row r="322" spans="4:7" s="61" customFormat="1" ht="24">
      <c r="D322" s="60"/>
      <c r="G322" s="60"/>
    </row>
    <row r="323" spans="4:7" s="61" customFormat="1" ht="24">
      <c r="D323" s="60"/>
      <c r="G323" s="60"/>
    </row>
    <row r="324" spans="4:7" s="61" customFormat="1" ht="24">
      <c r="D324" s="60"/>
      <c r="G324" s="60"/>
    </row>
    <row r="325" spans="1:8" s="74" customFormat="1" ht="24">
      <c r="A325" s="74" t="s">
        <v>100</v>
      </c>
      <c r="C325" s="75" t="s">
        <v>117</v>
      </c>
      <c r="D325" s="76"/>
      <c r="G325" s="76"/>
      <c r="H325" s="74">
        <v>10</v>
      </c>
    </row>
    <row r="326" spans="3:7" s="74" customFormat="1" ht="24">
      <c r="C326" s="75" t="s">
        <v>121</v>
      </c>
      <c r="D326" s="76"/>
      <c r="G326" s="76"/>
    </row>
    <row r="327" spans="1:7" s="74" customFormat="1" ht="24">
      <c r="A327" s="74" t="s">
        <v>80</v>
      </c>
      <c r="C327" s="75"/>
      <c r="D327" s="76"/>
      <c r="G327" s="76"/>
    </row>
    <row r="328" spans="1:9" s="74" customFormat="1" ht="24">
      <c r="A328" s="77"/>
      <c r="B328" s="77"/>
      <c r="C328" s="78"/>
      <c r="D328" s="79"/>
      <c r="E328" s="77"/>
      <c r="F328" s="77"/>
      <c r="G328" s="79"/>
      <c r="I328" s="74" t="s">
        <v>157</v>
      </c>
    </row>
    <row r="329" spans="1:7" s="74" customFormat="1" ht="24">
      <c r="A329" s="74" t="s">
        <v>176</v>
      </c>
      <c r="D329" s="76"/>
      <c r="F329" s="80"/>
      <c r="G329" s="76">
        <v>12401742.2</v>
      </c>
    </row>
    <row r="330" spans="1:7" s="74" customFormat="1" ht="24">
      <c r="A330" s="81" t="s">
        <v>180</v>
      </c>
      <c r="D330" s="76"/>
      <c r="F330" s="75"/>
      <c r="G330" s="76"/>
    </row>
    <row r="331" spans="1:7" s="82" customFormat="1" ht="24">
      <c r="A331" s="82" t="s">
        <v>81</v>
      </c>
      <c r="B331" s="82" t="s">
        <v>82</v>
      </c>
      <c r="D331" s="83" t="s">
        <v>83</v>
      </c>
      <c r="F331" s="84"/>
      <c r="G331" s="83"/>
    </row>
    <row r="332" spans="1:7" s="61" customFormat="1" ht="24">
      <c r="A332" s="85"/>
      <c r="B332" s="85"/>
      <c r="C332" s="86"/>
      <c r="D332" s="87"/>
      <c r="E332" s="86"/>
      <c r="F332" s="88"/>
      <c r="G332" s="87"/>
    </row>
    <row r="333" spans="1:7" s="61" customFormat="1" ht="24">
      <c r="A333" s="85"/>
      <c r="B333" s="85"/>
      <c r="C333" s="86"/>
      <c r="D333" s="87"/>
      <c r="E333" s="86"/>
      <c r="F333" s="88"/>
      <c r="G333" s="87"/>
    </row>
    <row r="334" spans="1:7" s="61" customFormat="1" ht="24">
      <c r="A334" s="85"/>
      <c r="B334" s="85"/>
      <c r="C334" s="86"/>
      <c r="D334" s="87"/>
      <c r="E334" s="86"/>
      <c r="F334" s="88"/>
      <c r="G334" s="87"/>
    </row>
    <row r="335" spans="1:7" s="61" customFormat="1" ht="24">
      <c r="A335" s="85"/>
      <c r="B335" s="86"/>
      <c r="C335" s="86"/>
      <c r="D335" s="87"/>
      <c r="E335" s="86"/>
      <c r="F335" s="88"/>
      <c r="G335" s="87"/>
    </row>
    <row r="336" spans="1:7" s="61" customFormat="1" ht="24">
      <c r="A336" s="85"/>
      <c r="B336" s="86"/>
      <c r="C336" s="86"/>
      <c r="D336" s="87"/>
      <c r="E336" s="86"/>
      <c r="F336" s="88"/>
      <c r="G336" s="87"/>
    </row>
    <row r="337" spans="4:7" s="61" customFormat="1" ht="24">
      <c r="D337" s="60"/>
      <c r="F337" s="89"/>
      <c r="G337" s="60"/>
    </row>
    <row r="338" spans="1:7" s="74" customFormat="1" ht="24">
      <c r="A338" s="81" t="s">
        <v>181</v>
      </c>
      <c r="D338" s="76"/>
      <c r="F338" s="75"/>
      <c r="G338" s="76"/>
    </row>
    <row r="339" spans="1:7" s="82" customFormat="1" ht="24">
      <c r="A339" s="82" t="s">
        <v>84</v>
      </c>
      <c r="B339" s="82" t="s">
        <v>85</v>
      </c>
      <c r="D339" s="83" t="s">
        <v>83</v>
      </c>
      <c r="F339" s="84"/>
      <c r="G339" s="83"/>
    </row>
    <row r="340" spans="1:7" s="61" customFormat="1" ht="24">
      <c r="A340" s="85"/>
      <c r="B340" s="90"/>
      <c r="C340" s="86"/>
      <c r="D340" s="87"/>
      <c r="E340" s="86"/>
      <c r="F340" s="88"/>
      <c r="G340" s="87">
        <f>SUM(D340:D346)</f>
        <v>265709.87</v>
      </c>
    </row>
    <row r="341" spans="1:7" s="61" customFormat="1" ht="24">
      <c r="A341" s="85" t="s">
        <v>174</v>
      </c>
      <c r="B341" s="90"/>
      <c r="C341" s="86"/>
      <c r="D341" s="87">
        <v>265709.87</v>
      </c>
      <c r="E341" s="86"/>
      <c r="F341" s="88"/>
      <c r="G341" s="87"/>
    </row>
    <row r="342" spans="1:7" s="61" customFormat="1" ht="24">
      <c r="A342" s="85"/>
      <c r="B342" s="90"/>
      <c r="C342" s="86"/>
      <c r="D342" s="87"/>
      <c r="E342" s="86"/>
      <c r="F342" s="88"/>
      <c r="G342" s="87"/>
    </row>
    <row r="343" spans="1:7" s="61" customFormat="1" ht="24">
      <c r="A343" s="85" t="s">
        <v>97</v>
      </c>
      <c r="B343" s="90" t="s">
        <v>97</v>
      </c>
      <c r="C343" s="86" t="s">
        <v>97</v>
      </c>
      <c r="D343" s="87" t="s">
        <v>97</v>
      </c>
      <c r="E343" s="86"/>
      <c r="F343" s="88"/>
      <c r="G343" s="87"/>
    </row>
    <row r="344" spans="1:7" s="61" customFormat="1" ht="24">
      <c r="A344" s="85"/>
      <c r="B344" s="90"/>
      <c r="C344" s="86"/>
      <c r="D344" s="87"/>
      <c r="E344" s="86"/>
      <c r="F344" s="88"/>
      <c r="G344" s="87"/>
    </row>
    <row r="345" spans="1:7" s="61" customFormat="1" ht="24">
      <c r="A345" s="85"/>
      <c r="B345" s="90"/>
      <c r="C345" s="86"/>
      <c r="D345" s="87"/>
      <c r="E345" s="86"/>
      <c r="F345" s="88"/>
      <c r="G345" s="87"/>
    </row>
    <row r="346" spans="1:7" s="61" customFormat="1" ht="24">
      <c r="A346" s="85"/>
      <c r="B346" s="90"/>
      <c r="C346" s="86"/>
      <c r="D346" s="87"/>
      <c r="E346" s="86"/>
      <c r="F346" s="88"/>
      <c r="G346" s="87"/>
    </row>
    <row r="347" spans="1:7" s="74" customFormat="1" ht="24">
      <c r="A347" s="81" t="s">
        <v>182</v>
      </c>
      <c r="D347" s="76"/>
      <c r="F347" s="75"/>
      <c r="G347" s="76"/>
    </row>
    <row r="348" spans="1:7" s="74" customFormat="1" ht="24">
      <c r="A348" s="81" t="s">
        <v>86</v>
      </c>
      <c r="D348" s="76"/>
      <c r="F348" s="75"/>
      <c r="G348" s="76"/>
    </row>
    <row r="349" spans="1:7" s="61" customFormat="1" ht="24">
      <c r="A349" s="86" t="s">
        <v>97</v>
      </c>
      <c r="B349" s="86"/>
      <c r="C349" s="86"/>
      <c r="D349" s="87">
        <v>308800</v>
      </c>
      <c r="E349" s="86"/>
      <c r="F349" s="88"/>
      <c r="G349" s="87">
        <v>308800</v>
      </c>
    </row>
    <row r="350" spans="1:7" s="61" customFormat="1" ht="24">
      <c r="A350" s="86" t="s">
        <v>97</v>
      </c>
      <c r="B350" s="86"/>
      <c r="C350" s="86"/>
      <c r="D350" s="87" t="s">
        <v>97</v>
      </c>
      <c r="E350" s="86"/>
      <c r="F350" s="88"/>
      <c r="G350" s="87" t="s">
        <v>97</v>
      </c>
    </row>
    <row r="351" spans="1:7" s="61" customFormat="1" ht="24">
      <c r="A351" s="86"/>
      <c r="B351" s="86"/>
      <c r="C351" s="86"/>
      <c r="D351" s="87"/>
      <c r="E351" s="86"/>
      <c r="F351" s="88"/>
      <c r="G351" s="87"/>
    </row>
    <row r="352" spans="1:7" s="74" customFormat="1" ht="24">
      <c r="A352" s="74" t="s">
        <v>164</v>
      </c>
      <c r="D352" s="76"/>
      <c r="F352" s="78"/>
      <c r="G352" s="76">
        <f>SUM(G329+G340+G349)</f>
        <v>12976252.069999998</v>
      </c>
    </row>
    <row r="353" spans="1:7" s="61" customFormat="1" ht="24">
      <c r="A353" s="91" t="s">
        <v>87</v>
      </c>
      <c r="B353" s="91"/>
      <c r="C353" s="91"/>
      <c r="D353" s="92" t="s">
        <v>88</v>
      </c>
      <c r="E353" s="91"/>
      <c r="F353" s="91"/>
      <c r="G353" s="93"/>
    </row>
    <row r="354" spans="4:7" s="61" customFormat="1" ht="24">
      <c r="D354" s="94"/>
      <c r="G354" s="60"/>
    </row>
    <row r="355" spans="1:7" s="61" customFormat="1" ht="24">
      <c r="A355" s="61" t="s">
        <v>165</v>
      </c>
      <c r="D355" s="94" t="s">
        <v>165</v>
      </c>
      <c r="G355" s="60"/>
    </row>
    <row r="356" spans="1:7" s="61" customFormat="1" ht="24">
      <c r="A356" s="61" t="s">
        <v>89</v>
      </c>
      <c r="D356" s="94" t="s">
        <v>90</v>
      </c>
      <c r="G356" s="60"/>
    </row>
  </sheetData>
  <sheetProtection/>
  <mergeCells count="1">
    <mergeCell ref="A1:B1"/>
  </mergeCells>
  <printOptions/>
  <pageMargins left="0.15748031496062992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9"/>
  <sheetViews>
    <sheetView zoomScale="150" zoomScaleNormal="150" zoomScalePageLayoutView="0" workbookViewId="0" topLeftCell="C118">
      <selection activeCell="E47" sqref="E47"/>
    </sheetView>
  </sheetViews>
  <sheetFormatPr defaultColWidth="9.140625" defaultRowHeight="23.25"/>
  <cols>
    <col min="1" max="1" width="13.28125" style="157" customWidth="1"/>
    <col min="2" max="14" width="9.7109375" style="137" customWidth="1"/>
    <col min="15" max="15" width="11.00390625" style="45" customWidth="1"/>
    <col min="16" max="16384" width="9.140625" style="137" customWidth="1"/>
  </cols>
  <sheetData>
    <row r="1" spans="1:15" ht="21" customHeight="1">
      <c r="A1" s="230" t="s">
        <v>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21" customHeight="1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1" customHeight="1">
      <c r="A3" s="228" t="s">
        <v>364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23.25" customHeight="1">
      <c r="A5" s="139" t="s">
        <v>66</v>
      </c>
      <c r="B5" s="238">
        <v>410</v>
      </c>
      <c r="C5" s="238">
        <v>110</v>
      </c>
      <c r="D5" s="238"/>
      <c r="E5" s="239">
        <v>120</v>
      </c>
      <c r="F5" s="238">
        <v>210</v>
      </c>
      <c r="G5" s="238"/>
      <c r="H5" s="238">
        <v>220</v>
      </c>
      <c r="I5" s="238">
        <v>230</v>
      </c>
      <c r="J5" s="238">
        <v>240</v>
      </c>
      <c r="K5" s="238"/>
      <c r="L5" s="238">
        <v>250</v>
      </c>
      <c r="M5" s="238">
        <v>260</v>
      </c>
      <c r="N5" s="238"/>
      <c r="O5" s="241" t="s">
        <v>24</v>
      </c>
    </row>
    <row r="6" spans="1:15" ht="19.5">
      <c r="A6" s="140" t="s">
        <v>67</v>
      </c>
      <c r="B6" s="238"/>
      <c r="C6" s="238"/>
      <c r="D6" s="238"/>
      <c r="E6" s="240"/>
      <c r="F6" s="238"/>
      <c r="G6" s="238"/>
      <c r="H6" s="238"/>
      <c r="I6" s="238"/>
      <c r="J6" s="238"/>
      <c r="K6" s="238"/>
      <c r="L6" s="238"/>
      <c r="M6" s="238"/>
      <c r="N6" s="238"/>
      <c r="O6" s="241"/>
    </row>
    <row r="7" spans="1:15" ht="19.5">
      <c r="A7" s="141" t="s">
        <v>68</v>
      </c>
      <c r="B7" s="142">
        <v>411</v>
      </c>
      <c r="C7" s="142">
        <v>111</v>
      </c>
      <c r="D7" s="142">
        <v>113</v>
      </c>
      <c r="E7" s="142">
        <v>123</v>
      </c>
      <c r="F7" s="142">
        <v>211</v>
      </c>
      <c r="G7" s="142">
        <v>212</v>
      </c>
      <c r="H7" s="142">
        <v>221</v>
      </c>
      <c r="I7" s="142">
        <v>223</v>
      </c>
      <c r="J7" s="142">
        <v>241</v>
      </c>
      <c r="K7" s="142">
        <v>242</v>
      </c>
      <c r="L7" s="142">
        <v>252</v>
      </c>
      <c r="M7" s="142">
        <v>262</v>
      </c>
      <c r="N7" s="142">
        <v>263</v>
      </c>
      <c r="O7" s="241"/>
    </row>
    <row r="8" spans="1:15" ht="19.5">
      <c r="A8" s="143">
        <v>2</v>
      </c>
      <c r="B8" s="144">
        <f>42500+49000+6227</f>
        <v>97727</v>
      </c>
      <c r="C8" s="144">
        <v>0</v>
      </c>
      <c r="D8" s="144">
        <v>0</v>
      </c>
      <c r="E8" s="144"/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f>SUM(B8:N8)</f>
        <v>97727</v>
      </c>
    </row>
    <row r="9" spans="1:15" ht="19.5">
      <c r="A9" s="143">
        <v>3</v>
      </c>
      <c r="B9" s="144">
        <v>0</v>
      </c>
      <c r="C9" s="144">
        <v>0</v>
      </c>
      <c r="D9" s="144">
        <v>0</v>
      </c>
      <c r="E9" s="144"/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f>SUM(B9:N9)</f>
        <v>0</v>
      </c>
    </row>
    <row r="10" spans="1:18" ht="19.5">
      <c r="A10" s="143">
        <v>4</v>
      </c>
      <c r="B10" s="144">
        <v>0</v>
      </c>
      <c r="C10" s="144">
        <v>0</v>
      </c>
      <c r="D10" s="144">
        <v>0</v>
      </c>
      <c r="E10" s="144"/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f>SUM(B10:N10)</f>
        <v>0</v>
      </c>
      <c r="R10" s="137" t="s">
        <v>97</v>
      </c>
    </row>
    <row r="11" spans="1:15" ht="19.5">
      <c r="A11" s="143">
        <v>5</v>
      </c>
      <c r="B11" s="144">
        <v>0</v>
      </c>
      <c r="C11" s="144">
        <v>0</v>
      </c>
      <c r="D11" s="144">
        <v>0</v>
      </c>
      <c r="E11" s="144"/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f>SUM(B11:N11)</f>
        <v>0</v>
      </c>
    </row>
    <row r="12" spans="1:15" ht="19.5">
      <c r="A12" s="145" t="s">
        <v>69</v>
      </c>
      <c r="B12" s="146">
        <f>SUM(B8:B11)</f>
        <v>97727</v>
      </c>
      <c r="C12" s="144">
        <f aca="true" t="shared" si="0" ref="C12:N12">SUM(C8:C11)</f>
        <v>0</v>
      </c>
      <c r="D12" s="144">
        <f t="shared" si="0"/>
        <v>0</v>
      </c>
      <c r="E12" s="144"/>
      <c r="F12" s="144">
        <f t="shared" si="0"/>
        <v>0</v>
      </c>
      <c r="G12" s="144">
        <f t="shared" si="0"/>
        <v>0</v>
      </c>
      <c r="H12" s="144">
        <f t="shared" si="0"/>
        <v>0</v>
      </c>
      <c r="I12" s="144">
        <f t="shared" si="0"/>
        <v>0</v>
      </c>
      <c r="J12" s="144">
        <f t="shared" si="0"/>
        <v>0</v>
      </c>
      <c r="K12" s="144">
        <f t="shared" si="0"/>
        <v>0</v>
      </c>
      <c r="L12" s="144">
        <f t="shared" si="0"/>
        <v>0</v>
      </c>
      <c r="M12" s="144">
        <f t="shared" si="0"/>
        <v>0</v>
      </c>
      <c r="N12" s="144">
        <f t="shared" si="0"/>
        <v>0</v>
      </c>
      <c r="O12" s="144">
        <f aca="true" t="shared" si="1" ref="O12:O30">SUM(B12:N12)</f>
        <v>97727</v>
      </c>
    </row>
    <row r="13" spans="1:15" ht="19.5">
      <c r="A13" s="145" t="s">
        <v>70</v>
      </c>
      <c r="B13" s="147">
        <f>+B12</f>
        <v>97727</v>
      </c>
      <c r="C13" s="144">
        <v>0</v>
      </c>
      <c r="D13" s="144">
        <v>0</v>
      </c>
      <c r="E13" s="144"/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f t="shared" si="1"/>
        <v>97727</v>
      </c>
    </row>
    <row r="14" spans="1:17" ht="19.5">
      <c r="A14" s="145">
        <v>100</v>
      </c>
      <c r="B14" s="144"/>
      <c r="C14" s="144">
        <v>0</v>
      </c>
      <c r="D14" s="144">
        <v>0</v>
      </c>
      <c r="E14" s="144"/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f t="shared" si="1"/>
        <v>0</v>
      </c>
      <c r="Q14" s="137" t="s">
        <v>97</v>
      </c>
    </row>
    <row r="15" spans="1:15" ht="19.5">
      <c r="A15" s="145">
        <v>101</v>
      </c>
      <c r="B15" s="144"/>
      <c r="C15" s="144">
        <f>42840</f>
        <v>42840</v>
      </c>
      <c r="D15" s="144">
        <v>0</v>
      </c>
      <c r="E15" s="144"/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f>SUM(B15:N15)</f>
        <v>42840</v>
      </c>
    </row>
    <row r="16" spans="1:15" ht="19.5">
      <c r="A16" s="145">
        <v>102</v>
      </c>
      <c r="B16" s="144"/>
      <c r="C16" s="144">
        <v>149080</v>
      </c>
      <c r="D16" s="144">
        <v>72920</v>
      </c>
      <c r="E16" s="144"/>
      <c r="F16" s="144">
        <f>68760</f>
        <v>68760</v>
      </c>
      <c r="G16" s="144">
        <v>0</v>
      </c>
      <c r="H16" s="144">
        <v>0</v>
      </c>
      <c r="I16" s="144">
        <v>0</v>
      </c>
      <c r="J16" s="144">
        <v>8845</v>
      </c>
      <c r="K16" s="144">
        <v>0</v>
      </c>
      <c r="L16" s="144">
        <v>0</v>
      </c>
      <c r="M16" s="144">
        <v>0</v>
      </c>
      <c r="N16" s="144">
        <v>0</v>
      </c>
      <c r="O16" s="144">
        <f t="shared" si="1"/>
        <v>299605</v>
      </c>
    </row>
    <row r="17" spans="1:15" ht="19.5">
      <c r="A17" s="145">
        <v>103</v>
      </c>
      <c r="B17" s="144"/>
      <c r="C17" s="144">
        <f>3510+3510</f>
        <v>7020</v>
      </c>
      <c r="D17" s="144">
        <v>0</v>
      </c>
      <c r="E17" s="144"/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f t="shared" si="1"/>
        <v>7020</v>
      </c>
    </row>
    <row r="18" spans="1:15" ht="19.5">
      <c r="A18" s="145">
        <v>104</v>
      </c>
      <c r="B18" s="144"/>
      <c r="C18" s="144">
        <f>7200+164400</f>
        <v>171600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9.5">
      <c r="A19" s="145">
        <v>105</v>
      </c>
      <c r="B19" s="144"/>
      <c r="C19" s="144">
        <v>10500</v>
      </c>
      <c r="D19" s="144">
        <v>3500</v>
      </c>
      <c r="E19" s="144"/>
      <c r="F19" s="144">
        <v>3500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f>SUM(C19:N19)</f>
        <v>17500</v>
      </c>
    </row>
    <row r="20" spans="1:15" ht="19.5">
      <c r="A20" s="145">
        <v>106</v>
      </c>
      <c r="B20" s="144"/>
      <c r="C20" s="144">
        <v>0</v>
      </c>
      <c r="D20" s="144">
        <v>0</v>
      </c>
      <c r="E20" s="144"/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f t="shared" si="1"/>
        <v>0</v>
      </c>
    </row>
    <row r="21" spans="1:15" ht="19.5">
      <c r="A21" s="145" t="s">
        <v>69</v>
      </c>
      <c r="B21" s="144"/>
      <c r="C21" s="146">
        <f aca="true" t="shared" si="2" ref="C21:N21">SUM(C14:C20)</f>
        <v>381040</v>
      </c>
      <c r="D21" s="146">
        <f t="shared" si="2"/>
        <v>76420</v>
      </c>
      <c r="E21" s="146"/>
      <c r="F21" s="146">
        <f t="shared" si="2"/>
        <v>72260</v>
      </c>
      <c r="G21" s="146">
        <f t="shared" si="2"/>
        <v>0</v>
      </c>
      <c r="H21" s="146">
        <f t="shared" si="2"/>
        <v>0</v>
      </c>
      <c r="I21" s="146">
        <f t="shared" si="2"/>
        <v>0</v>
      </c>
      <c r="J21" s="146">
        <f t="shared" si="2"/>
        <v>8845</v>
      </c>
      <c r="K21" s="146">
        <f t="shared" si="2"/>
        <v>0</v>
      </c>
      <c r="L21" s="146">
        <f t="shared" si="2"/>
        <v>0</v>
      </c>
      <c r="M21" s="146">
        <f t="shared" si="2"/>
        <v>0</v>
      </c>
      <c r="N21" s="146">
        <f t="shared" si="2"/>
        <v>0</v>
      </c>
      <c r="O21" s="146">
        <f t="shared" si="1"/>
        <v>538565</v>
      </c>
    </row>
    <row r="22" spans="1:15" ht="19.5">
      <c r="A22" s="145" t="s">
        <v>70</v>
      </c>
      <c r="B22" s="144"/>
      <c r="C22" s="147">
        <f aca="true" t="shared" si="3" ref="C22:N22">+C21</f>
        <v>381040</v>
      </c>
      <c r="D22" s="147">
        <f t="shared" si="3"/>
        <v>76420</v>
      </c>
      <c r="E22" s="147"/>
      <c r="F22" s="147">
        <f t="shared" si="3"/>
        <v>72260</v>
      </c>
      <c r="G22" s="147">
        <f t="shared" si="3"/>
        <v>0</v>
      </c>
      <c r="H22" s="147">
        <f t="shared" si="3"/>
        <v>0</v>
      </c>
      <c r="I22" s="147">
        <f t="shared" si="3"/>
        <v>0</v>
      </c>
      <c r="J22" s="147">
        <f t="shared" si="3"/>
        <v>8845</v>
      </c>
      <c r="K22" s="147">
        <f t="shared" si="3"/>
        <v>0</v>
      </c>
      <c r="L22" s="147">
        <f t="shared" si="3"/>
        <v>0</v>
      </c>
      <c r="M22" s="147">
        <f t="shared" si="3"/>
        <v>0</v>
      </c>
      <c r="N22" s="147">
        <f t="shared" si="3"/>
        <v>0</v>
      </c>
      <c r="O22" s="147">
        <f>SUM(B22:N22)</f>
        <v>538565</v>
      </c>
    </row>
    <row r="23" spans="1:15" ht="19.5">
      <c r="A23" s="145">
        <v>120</v>
      </c>
      <c r="B23" s="144"/>
      <c r="C23" s="144">
        <v>0</v>
      </c>
      <c r="D23" s="144">
        <v>0</v>
      </c>
      <c r="E23" s="144"/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f t="shared" si="1"/>
        <v>0</v>
      </c>
    </row>
    <row r="24" spans="1:15" ht="19.5">
      <c r="A24" s="145">
        <v>121</v>
      </c>
      <c r="B24" s="144"/>
      <c r="C24" s="144">
        <v>0</v>
      </c>
      <c r="D24" s="144">
        <v>0</v>
      </c>
      <c r="E24" s="144"/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f t="shared" si="1"/>
        <v>0</v>
      </c>
    </row>
    <row r="25" spans="1:15" ht="19.5">
      <c r="A25" s="145" t="s">
        <v>69</v>
      </c>
      <c r="B25" s="144"/>
      <c r="C25" s="146">
        <v>0</v>
      </c>
      <c r="D25" s="146">
        <v>0</v>
      </c>
      <c r="E25" s="146"/>
      <c r="F25" s="146">
        <f>SUM(F23:F24)</f>
        <v>0</v>
      </c>
      <c r="G25" s="146">
        <f>SUM(G23:G24)</f>
        <v>0</v>
      </c>
      <c r="H25" s="146">
        <f>SUM(H23:H24)</f>
        <v>0</v>
      </c>
      <c r="I25" s="146">
        <f>SUM(I23:I24)</f>
        <v>0</v>
      </c>
      <c r="J25" s="146">
        <v>0</v>
      </c>
      <c r="K25" s="146">
        <f>SUM(K23:K24)</f>
        <v>0</v>
      </c>
      <c r="L25" s="146">
        <f>SUM(L23:L24)</f>
        <v>0</v>
      </c>
      <c r="M25" s="146">
        <f>SUM(M23:M24)</f>
        <v>0</v>
      </c>
      <c r="N25" s="146">
        <f>SUM(N23:N24)</f>
        <v>0</v>
      </c>
      <c r="O25" s="146">
        <f t="shared" si="1"/>
        <v>0</v>
      </c>
    </row>
    <row r="26" spans="1:15" ht="19.5">
      <c r="A26" s="145" t="s">
        <v>70</v>
      </c>
      <c r="B26" s="144"/>
      <c r="C26" s="147">
        <v>0</v>
      </c>
      <c r="D26" s="147">
        <v>0</v>
      </c>
      <c r="E26" s="147"/>
      <c r="F26" s="147"/>
      <c r="G26" s="147"/>
      <c r="H26" s="147"/>
      <c r="I26" s="147"/>
      <c r="J26" s="147">
        <v>0</v>
      </c>
      <c r="K26" s="147"/>
      <c r="L26" s="147"/>
      <c r="M26" s="147"/>
      <c r="N26" s="147"/>
      <c r="O26" s="147">
        <f t="shared" si="1"/>
        <v>0</v>
      </c>
    </row>
    <row r="27" spans="1:15" ht="19.5">
      <c r="A27" s="145">
        <v>130</v>
      </c>
      <c r="B27" s="144"/>
      <c r="C27" s="144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f t="shared" si="1"/>
        <v>0</v>
      </c>
    </row>
    <row r="28" spans="1:15" ht="19.5">
      <c r="A28" s="145">
        <v>131</v>
      </c>
      <c r="B28" s="144"/>
      <c r="C28" s="144">
        <f>7000+36000+4000</f>
        <v>47000</v>
      </c>
      <c r="D28" s="144">
        <f>9000+1000</f>
        <v>10000</v>
      </c>
      <c r="E28" s="144"/>
      <c r="F28" s="144">
        <f>29140+4000</f>
        <v>33140</v>
      </c>
      <c r="G28" s="144">
        <v>0</v>
      </c>
      <c r="H28" s="144">
        <v>0</v>
      </c>
      <c r="I28" s="144">
        <v>0</v>
      </c>
      <c r="J28" s="144">
        <f>36400+5000</f>
        <v>41400</v>
      </c>
      <c r="K28" s="144">
        <v>0</v>
      </c>
      <c r="L28" s="144">
        <v>0</v>
      </c>
      <c r="M28" s="144">
        <v>0</v>
      </c>
      <c r="N28" s="144">
        <v>0</v>
      </c>
      <c r="O28" s="144">
        <f t="shared" si="1"/>
        <v>131540</v>
      </c>
    </row>
    <row r="29" spans="1:15" ht="19.5">
      <c r="A29" s="145" t="s">
        <v>69</v>
      </c>
      <c r="B29" s="144"/>
      <c r="C29" s="146">
        <f aca="true" t="shared" si="4" ref="C29:I29">SUM(C27:C28)</f>
        <v>47000</v>
      </c>
      <c r="D29" s="146">
        <f t="shared" si="4"/>
        <v>10000</v>
      </c>
      <c r="E29" s="144"/>
      <c r="F29" s="146">
        <f t="shared" si="4"/>
        <v>33140</v>
      </c>
      <c r="G29" s="144">
        <f t="shared" si="4"/>
        <v>0</v>
      </c>
      <c r="H29" s="144">
        <f t="shared" si="4"/>
        <v>0</v>
      </c>
      <c r="I29" s="144">
        <f t="shared" si="4"/>
        <v>0</v>
      </c>
      <c r="J29" s="146">
        <f>SUM(J27:J28)</f>
        <v>41400</v>
      </c>
      <c r="K29" s="144">
        <f>SUM(K27:K28)</f>
        <v>0</v>
      </c>
      <c r="L29" s="144">
        <f>SUM(L27:L28)</f>
        <v>0</v>
      </c>
      <c r="M29" s="144">
        <f>SUM(M27:M28)</f>
        <v>0</v>
      </c>
      <c r="N29" s="144">
        <f>SUM(N27:N28)</f>
        <v>0</v>
      </c>
      <c r="O29" s="146">
        <f t="shared" si="1"/>
        <v>131540</v>
      </c>
    </row>
    <row r="30" spans="1:15" ht="19.5">
      <c r="A30" s="145" t="s">
        <v>70</v>
      </c>
      <c r="B30" s="144"/>
      <c r="C30" s="147">
        <f>+C29</f>
        <v>47000</v>
      </c>
      <c r="D30" s="147">
        <f aca="true" t="shared" si="5" ref="D30:N30">+D29</f>
        <v>10000</v>
      </c>
      <c r="E30" s="144"/>
      <c r="F30" s="147">
        <f t="shared" si="5"/>
        <v>33140</v>
      </c>
      <c r="G30" s="144">
        <f t="shared" si="5"/>
        <v>0</v>
      </c>
      <c r="H30" s="144">
        <f t="shared" si="5"/>
        <v>0</v>
      </c>
      <c r="I30" s="144">
        <f t="shared" si="5"/>
        <v>0</v>
      </c>
      <c r="J30" s="147">
        <f t="shared" si="5"/>
        <v>41400</v>
      </c>
      <c r="K30" s="144">
        <f t="shared" si="5"/>
        <v>0</v>
      </c>
      <c r="L30" s="144">
        <f t="shared" si="5"/>
        <v>0</v>
      </c>
      <c r="M30" s="144">
        <f t="shared" si="5"/>
        <v>0</v>
      </c>
      <c r="N30" s="144">
        <f t="shared" si="5"/>
        <v>0</v>
      </c>
      <c r="O30" s="147">
        <f t="shared" si="1"/>
        <v>131540</v>
      </c>
    </row>
    <row r="31" spans="1:15" ht="19.5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5" ht="19.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ht="19.5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 ht="19.5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 ht="18" customHeight="1">
      <c r="A35" s="230" t="s">
        <v>64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ht="21" customHeight="1">
      <c r="A36" s="230" t="s">
        <v>65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21" customHeight="1">
      <c r="A37" s="228" t="s">
        <v>364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</row>
    <row r="38" spans="1:15" ht="21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</row>
    <row r="39" spans="1:15" ht="23.25" customHeight="1">
      <c r="A39" s="139" t="s">
        <v>66</v>
      </c>
      <c r="B39" s="238">
        <v>410</v>
      </c>
      <c r="C39" s="238">
        <v>110</v>
      </c>
      <c r="D39" s="238"/>
      <c r="E39" s="239">
        <v>120</v>
      </c>
      <c r="F39" s="238">
        <v>210</v>
      </c>
      <c r="G39" s="238"/>
      <c r="H39" s="238">
        <v>220</v>
      </c>
      <c r="I39" s="238">
        <v>230</v>
      </c>
      <c r="J39" s="238">
        <v>240</v>
      </c>
      <c r="K39" s="238"/>
      <c r="L39" s="238">
        <v>250</v>
      </c>
      <c r="M39" s="238">
        <v>260</v>
      </c>
      <c r="N39" s="238"/>
      <c r="O39" s="241" t="s">
        <v>24</v>
      </c>
    </row>
    <row r="40" spans="1:15" ht="19.5">
      <c r="A40" s="140" t="s">
        <v>67</v>
      </c>
      <c r="B40" s="238"/>
      <c r="C40" s="238"/>
      <c r="D40" s="238"/>
      <c r="E40" s="240"/>
      <c r="F40" s="238"/>
      <c r="G40" s="238"/>
      <c r="H40" s="238"/>
      <c r="I40" s="238"/>
      <c r="J40" s="238"/>
      <c r="K40" s="238"/>
      <c r="L40" s="238"/>
      <c r="M40" s="238"/>
      <c r="N40" s="238"/>
      <c r="O40" s="241"/>
    </row>
    <row r="41" spans="1:15" ht="19.5">
      <c r="A41" s="141" t="s">
        <v>68</v>
      </c>
      <c r="B41" s="142">
        <v>411</v>
      </c>
      <c r="C41" s="142">
        <v>111</v>
      </c>
      <c r="D41" s="142">
        <v>113</v>
      </c>
      <c r="E41" s="142">
        <v>123</v>
      </c>
      <c r="F41" s="142">
        <v>211</v>
      </c>
      <c r="G41" s="142">
        <v>212</v>
      </c>
      <c r="H41" s="142">
        <v>223</v>
      </c>
      <c r="I41" s="142">
        <v>232</v>
      </c>
      <c r="J41" s="142">
        <v>241</v>
      </c>
      <c r="K41" s="142">
        <v>242</v>
      </c>
      <c r="L41" s="142">
        <v>252</v>
      </c>
      <c r="M41" s="142">
        <v>262</v>
      </c>
      <c r="N41" s="142">
        <v>263</v>
      </c>
      <c r="O41" s="241"/>
    </row>
    <row r="42" spans="1:15" ht="19.5">
      <c r="A42" s="143">
        <v>200</v>
      </c>
      <c r="B42" s="144"/>
      <c r="C42" s="144">
        <v>0</v>
      </c>
      <c r="D42" s="144">
        <v>0</v>
      </c>
      <c r="E42" s="144"/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f>SUM(B42:N42)</f>
        <v>0</v>
      </c>
    </row>
    <row r="43" spans="1:15" ht="19.5">
      <c r="A43" s="143">
        <v>201</v>
      </c>
      <c r="B43" s="144"/>
      <c r="C43" s="144">
        <v>0</v>
      </c>
      <c r="D43" s="144">
        <v>0</v>
      </c>
      <c r="E43" s="144"/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f aca="true" t="shared" si="6" ref="O43:O58">SUM(B43:N43)</f>
        <v>0</v>
      </c>
    </row>
    <row r="44" spans="1:15" ht="19.5">
      <c r="A44" s="143">
        <v>203</v>
      </c>
      <c r="B44" s="144"/>
      <c r="C44" s="144">
        <v>0</v>
      </c>
      <c r="D44" s="144">
        <v>0</v>
      </c>
      <c r="E44" s="144"/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f>SUM(C44:N44)</f>
        <v>0</v>
      </c>
    </row>
    <row r="45" spans="1:15" ht="19.5">
      <c r="A45" s="145">
        <v>204</v>
      </c>
      <c r="B45" s="144"/>
      <c r="C45" s="144">
        <v>0</v>
      </c>
      <c r="D45" s="144">
        <v>0</v>
      </c>
      <c r="E45" s="144"/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f t="shared" si="6"/>
        <v>0</v>
      </c>
    </row>
    <row r="46" spans="1:15" ht="19.5">
      <c r="A46" s="145">
        <v>205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9.5">
      <c r="A47" s="145">
        <v>206</v>
      </c>
      <c r="B47" s="144"/>
      <c r="C47" s="144">
        <v>5200</v>
      </c>
      <c r="D47" s="144">
        <v>9500</v>
      </c>
      <c r="E47" s="144"/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f>SUM(C47:N47)</f>
        <v>14700</v>
      </c>
    </row>
    <row r="48" spans="1:15" ht="19.5">
      <c r="A48" s="145">
        <v>207</v>
      </c>
      <c r="B48" s="144"/>
      <c r="C48" s="144">
        <v>0</v>
      </c>
      <c r="D48" s="144">
        <v>0</v>
      </c>
      <c r="E48" s="144"/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f>SUM(C48:N48)</f>
        <v>0</v>
      </c>
    </row>
    <row r="49" spans="1:15" ht="19.5">
      <c r="A49" s="145">
        <v>208</v>
      </c>
      <c r="B49" s="144"/>
      <c r="C49" s="144">
        <v>0</v>
      </c>
      <c r="D49" s="144">
        <v>0</v>
      </c>
      <c r="E49" s="144"/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f t="shared" si="6"/>
        <v>0</v>
      </c>
    </row>
    <row r="50" spans="1:15" ht="19.5">
      <c r="A50" s="145" t="s">
        <v>69</v>
      </c>
      <c r="B50" s="144"/>
      <c r="C50" s="146">
        <f aca="true" t="shared" si="7" ref="C50:N50">SUM(C42:C49)</f>
        <v>5200</v>
      </c>
      <c r="D50" s="146">
        <f>SUM(D42:D49)</f>
        <v>9500</v>
      </c>
      <c r="E50" s="144"/>
      <c r="F50" s="144">
        <f t="shared" si="7"/>
        <v>0</v>
      </c>
      <c r="G50" s="144">
        <f t="shared" si="7"/>
        <v>0</v>
      </c>
      <c r="H50" s="144">
        <f t="shared" si="7"/>
        <v>0</v>
      </c>
      <c r="I50" s="144">
        <f t="shared" si="7"/>
        <v>0</v>
      </c>
      <c r="J50" s="144">
        <v>0</v>
      </c>
      <c r="K50" s="144">
        <f t="shared" si="7"/>
        <v>0</v>
      </c>
      <c r="L50" s="144">
        <f t="shared" si="7"/>
        <v>0</v>
      </c>
      <c r="M50" s="144">
        <f t="shared" si="7"/>
        <v>0</v>
      </c>
      <c r="N50" s="144">
        <f t="shared" si="7"/>
        <v>0</v>
      </c>
      <c r="O50" s="146">
        <f t="shared" si="6"/>
        <v>14700</v>
      </c>
    </row>
    <row r="51" spans="1:15" ht="19.5">
      <c r="A51" s="145" t="s">
        <v>70</v>
      </c>
      <c r="B51" s="144"/>
      <c r="C51" s="147">
        <f>SUM(C50)</f>
        <v>5200</v>
      </c>
      <c r="D51" s="147">
        <f>SUM(D50)</f>
        <v>9500</v>
      </c>
      <c r="E51" s="144"/>
      <c r="F51" s="144">
        <f aca="true" t="shared" si="8" ref="F51:N51">+F50</f>
        <v>0</v>
      </c>
      <c r="G51" s="144">
        <f t="shared" si="8"/>
        <v>0</v>
      </c>
      <c r="H51" s="144">
        <f t="shared" si="8"/>
        <v>0</v>
      </c>
      <c r="I51" s="144">
        <f t="shared" si="8"/>
        <v>0</v>
      </c>
      <c r="J51" s="144">
        <f t="shared" si="8"/>
        <v>0</v>
      </c>
      <c r="K51" s="144">
        <f t="shared" si="8"/>
        <v>0</v>
      </c>
      <c r="L51" s="144">
        <f t="shared" si="8"/>
        <v>0</v>
      </c>
      <c r="M51" s="144">
        <f t="shared" si="8"/>
        <v>0</v>
      </c>
      <c r="N51" s="144">
        <f t="shared" si="8"/>
        <v>0</v>
      </c>
      <c r="O51" s="147">
        <f t="shared" si="6"/>
        <v>14700</v>
      </c>
    </row>
    <row r="52" spans="1:15" ht="19.5">
      <c r="A52" s="145">
        <v>250</v>
      </c>
      <c r="B52" s="144"/>
      <c r="C52" s="144">
        <v>0</v>
      </c>
      <c r="D52" s="144">
        <v>0</v>
      </c>
      <c r="E52" s="144"/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f t="shared" si="6"/>
        <v>0</v>
      </c>
    </row>
    <row r="53" spans="1:15" ht="19.5">
      <c r="A53" s="145">
        <v>251</v>
      </c>
      <c r="B53" s="144"/>
      <c r="C53" s="144">
        <f>6300+3833.4+8910</f>
        <v>19043.4</v>
      </c>
      <c r="D53" s="144">
        <v>0</v>
      </c>
      <c r="E53" s="144"/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f t="shared" si="6"/>
        <v>19043.4</v>
      </c>
    </row>
    <row r="54" spans="1:15" ht="19.5">
      <c r="A54" s="145">
        <v>252</v>
      </c>
      <c r="B54" s="144"/>
      <c r="C54" s="144">
        <v>350</v>
      </c>
      <c r="D54" s="144">
        <v>0</v>
      </c>
      <c r="E54" s="144"/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f t="shared" si="6"/>
        <v>350</v>
      </c>
    </row>
    <row r="55" spans="1:15" ht="19.5">
      <c r="A55" s="145">
        <v>253</v>
      </c>
      <c r="B55" s="144"/>
      <c r="C55" s="144">
        <v>0</v>
      </c>
      <c r="D55" s="144">
        <v>0</v>
      </c>
      <c r="E55" s="144"/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f t="shared" si="6"/>
        <v>0</v>
      </c>
    </row>
    <row r="56" spans="1:15" ht="19.5">
      <c r="A56" s="145">
        <v>254</v>
      </c>
      <c r="B56" s="144"/>
      <c r="C56" s="144">
        <f>1644+10160</f>
        <v>11804</v>
      </c>
      <c r="D56" s="144">
        <v>0</v>
      </c>
      <c r="E56" s="144"/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f t="shared" si="6"/>
        <v>11804</v>
      </c>
    </row>
    <row r="57" spans="1:15" ht="19.5">
      <c r="A57" s="145" t="s">
        <v>69</v>
      </c>
      <c r="B57" s="144"/>
      <c r="C57" s="146">
        <f aca="true" t="shared" si="9" ref="C57:N57">SUM(C52:C56)</f>
        <v>31197.4</v>
      </c>
      <c r="D57" s="146">
        <f t="shared" si="9"/>
        <v>0</v>
      </c>
      <c r="E57" s="146"/>
      <c r="F57" s="146">
        <f t="shared" si="9"/>
        <v>0</v>
      </c>
      <c r="G57" s="146">
        <f t="shared" si="9"/>
        <v>0</v>
      </c>
      <c r="H57" s="146">
        <f t="shared" si="9"/>
        <v>0</v>
      </c>
      <c r="I57" s="146">
        <f t="shared" si="9"/>
        <v>0</v>
      </c>
      <c r="J57" s="146">
        <f t="shared" si="9"/>
        <v>0</v>
      </c>
      <c r="K57" s="146">
        <f t="shared" si="9"/>
        <v>0</v>
      </c>
      <c r="L57" s="146">
        <f t="shared" si="9"/>
        <v>0</v>
      </c>
      <c r="M57" s="146">
        <f t="shared" si="9"/>
        <v>0</v>
      </c>
      <c r="N57" s="146">
        <f t="shared" si="9"/>
        <v>0</v>
      </c>
      <c r="O57" s="146">
        <f t="shared" si="6"/>
        <v>31197.4</v>
      </c>
    </row>
    <row r="58" spans="1:15" ht="19.5">
      <c r="A58" s="145" t="s">
        <v>70</v>
      </c>
      <c r="B58" s="144"/>
      <c r="C58" s="147">
        <f>+C57</f>
        <v>31197.4</v>
      </c>
      <c r="D58" s="147">
        <f aca="true" t="shared" si="10" ref="D58:N58">+D57</f>
        <v>0</v>
      </c>
      <c r="E58" s="147"/>
      <c r="F58" s="147">
        <f t="shared" si="10"/>
        <v>0</v>
      </c>
      <c r="G58" s="147">
        <f t="shared" si="10"/>
        <v>0</v>
      </c>
      <c r="H58" s="147">
        <f t="shared" si="10"/>
        <v>0</v>
      </c>
      <c r="I58" s="147">
        <f t="shared" si="10"/>
        <v>0</v>
      </c>
      <c r="J58" s="147">
        <f t="shared" si="10"/>
        <v>0</v>
      </c>
      <c r="K58" s="147">
        <f t="shared" si="10"/>
        <v>0</v>
      </c>
      <c r="L58" s="147">
        <f t="shared" si="10"/>
        <v>0</v>
      </c>
      <c r="M58" s="147">
        <f t="shared" si="10"/>
        <v>0</v>
      </c>
      <c r="N58" s="147">
        <f t="shared" si="10"/>
        <v>0</v>
      </c>
      <c r="O58" s="147">
        <f t="shared" si="6"/>
        <v>31197.4</v>
      </c>
    </row>
    <row r="59" spans="1:15" s="150" customFormat="1" ht="19.5">
      <c r="A59" s="148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  <row r="60" spans="1:15" s="150" customFormat="1" ht="19.5">
      <c r="A60" s="148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</row>
    <row r="61" spans="1:15" s="150" customFormat="1" ht="19.5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1:15" s="150" customFormat="1" ht="19.5">
      <c r="A62" s="148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  <row r="63" spans="1:15" s="150" customFormat="1" ht="19.5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</row>
    <row r="64" spans="1:15" s="150" customFormat="1" ht="19.5">
      <c r="A64" s="148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</row>
    <row r="65" spans="1:15" s="150" customFormat="1" ht="21.75">
      <c r="A65" s="148"/>
      <c r="O65" s="52"/>
    </row>
    <row r="66" spans="1:15" s="150" customFormat="1" ht="21.75">
      <c r="A66" s="148"/>
      <c r="O66" s="52"/>
    </row>
    <row r="67" spans="1:15" ht="18" customHeight="1">
      <c r="A67" s="230" t="s">
        <v>64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</row>
    <row r="68" spans="1:15" ht="16.5" customHeight="1">
      <c r="A68" s="230" t="s">
        <v>65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</row>
    <row r="69" spans="1:15" ht="16.5" customHeight="1">
      <c r="A69" s="228" t="s">
        <v>364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</row>
    <row r="70" spans="1:15" ht="3" customHeight="1">
      <c r="A70" s="137"/>
      <c r="O70" s="137"/>
    </row>
    <row r="71" spans="1:15" ht="18.75" customHeight="1">
      <c r="A71" s="139" t="s">
        <v>66</v>
      </c>
      <c r="B71" s="238">
        <v>410</v>
      </c>
      <c r="C71" s="238">
        <v>110</v>
      </c>
      <c r="D71" s="238"/>
      <c r="E71" s="239">
        <v>120</v>
      </c>
      <c r="F71" s="238">
        <v>210</v>
      </c>
      <c r="G71" s="238"/>
      <c r="H71" s="238">
        <v>220</v>
      </c>
      <c r="I71" s="238">
        <v>230</v>
      </c>
      <c r="J71" s="238">
        <v>240</v>
      </c>
      <c r="K71" s="238"/>
      <c r="L71" s="238">
        <v>250</v>
      </c>
      <c r="M71" s="238">
        <v>260</v>
      </c>
      <c r="N71" s="238"/>
      <c r="O71" s="241" t="s">
        <v>24</v>
      </c>
    </row>
    <row r="72" spans="1:15" ht="15.75" customHeight="1">
      <c r="A72" s="140" t="s">
        <v>67</v>
      </c>
      <c r="B72" s="238"/>
      <c r="C72" s="238"/>
      <c r="D72" s="238"/>
      <c r="E72" s="240"/>
      <c r="F72" s="238"/>
      <c r="G72" s="238"/>
      <c r="H72" s="238"/>
      <c r="I72" s="238"/>
      <c r="J72" s="238"/>
      <c r="K72" s="238"/>
      <c r="L72" s="238"/>
      <c r="M72" s="238"/>
      <c r="N72" s="238"/>
      <c r="O72" s="241"/>
    </row>
    <row r="73" spans="1:15" ht="19.5">
      <c r="A73" s="141" t="s">
        <v>68</v>
      </c>
      <c r="B73" s="142">
        <v>411</v>
      </c>
      <c r="C73" s="142">
        <v>111</v>
      </c>
      <c r="D73" s="142">
        <v>113</v>
      </c>
      <c r="E73" s="142">
        <v>123</v>
      </c>
      <c r="F73" s="142">
        <v>211</v>
      </c>
      <c r="G73" s="142">
        <v>212</v>
      </c>
      <c r="H73" s="142">
        <v>223</v>
      </c>
      <c r="I73" s="142">
        <v>232</v>
      </c>
      <c r="J73" s="142">
        <v>241</v>
      </c>
      <c r="K73" s="142">
        <v>242</v>
      </c>
      <c r="L73" s="142">
        <v>252</v>
      </c>
      <c r="M73" s="142">
        <v>262</v>
      </c>
      <c r="N73" s="142">
        <v>263</v>
      </c>
      <c r="O73" s="241"/>
    </row>
    <row r="74" spans="1:15" ht="16.5" customHeight="1">
      <c r="A74" s="143">
        <v>270</v>
      </c>
      <c r="B74" s="144"/>
      <c r="C74" s="144">
        <v>0</v>
      </c>
      <c r="D74" s="144">
        <v>0</v>
      </c>
      <c r="E74" s="144"/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f>SUM(B74:N74)</f>
        <v>0</v>
      </c>
    </row>
    <row r="75" spans="1:15" ht="16.5" customHeight="1">
      <c r="A75" s="143">
        <v>271</v>
      </c>
      <c r="B75" s="144">
        <v>0</v>
      </c>
      <c r="C75" s="144">
        <v>408</v>
      </c>
      <c r="D75" s="144">
        <v>0</v>
      </c>
      <c r="E75" s="144"/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f aca="true" t="shared" si="11" ref="O75:O100">SUM(B75:N75)</f>
        <v>408</v>
      </c>
    </row>
    <row r="76" spans="1:15" ht="16.5" customHeight="1">
      <c r="A76" s="145">
        <v>272</v>
      </c>
      <c r="B76" s="144"/>
      <c r="C76" s="144">
        <v>0</v>
      </c>
      <c r="D76" s="144">
        <v>0</v>
      </c>
      <c r="E76" s="144"/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f t="shared" si="11"/>
        <v>0</v>
      </c>
    </row>
    <row r="77" spans="1:15" ht="16.5" customHeight="1">
      <c r="A77" s="145">
        <v>273</v>
      </c>
      <c r="B77" s="144"/>
      <c r="C77" s="144">
        <v>0</v>
      </c>
      <c r="D77" s="144">
        <v>0</v>
      </c>
      <c r="E77" s="144"/>
      <c r="F77" s="144">
        <v>110606.08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f t="shared" si="11"/>
        <v>110606.08</v>
      </c>
    </row>
    <row r="78" spans="1:15" ht="16.5" customHeight="1">
      <c r="A78" s="145">
        <v>274</v>
      </c>
      <c r="B78" s="144"/>
      <c r="C78" s="144">
        <v>0</v>
      </c>
      <c r="D78" s="144">
        <v>0</v>
      </c>
      <c r="E78" s="144"/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f>SUM(C78:N78)</f>
        <v>0</v>
      </c>
    </row>
    <row r="79" spans="1:15" ht="16.5" customHeight="1">
      <c r="A79" s="145">
        <v>276</v>
      </c>
      <c r="B79" s="144"/>
      <c r="C79" s="144">
        <f>7400</f>
        <v>7400</v>
      </c>
      <c r="D79" s="144">
        <v>300</v>
      </c>
      <c r="E79" s="144"/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f t="shared" si="11"/>
        <v>7700</v>
      </c>
    </row>
    <row r="80" spans="1:15" ht="16.5" customHeight="1">
      <c r="A80" s="145">
        <v>277</v>
      </c>
      <c r="B80" s="144">
        <v>0</v>
      </c>
      <c r="C80" s="144">
        <v>0</v>
      </c>
      <c r="D80" s="144">
        <v>0</v>
      </c>
      <c r="E80" s="144"/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f t="shared" si="11"/>
        <v>0</v>
      </c>
    </row>
    <row r="81" spans="1:15" ht="16.5" customHeight="1">
      <c r="A81" s="145">
        <v>278</v>
      </c>
      <c r="B81" s="144"/>
      <c r="C81" s="144">
        <v>0</v>
      </c>
      <c r="D81" s="144">
        <v>0</v>
      </c>
      <c r="E81" s="144"/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44">
        <f t="shared" si="11"/>
        <v>0</v>
      </c>
    </row>
    <row r="82" spans="1:15" ht="16.5" customHeight="1">
      <c r="A82" s="145">
        <v>281</v>
      </c>
      <c r="B82" s="144"/>
      <c r="C82" s="144">
        <v>0</v>
      </c>
      <c r="D82" s="144">
        <v>0</v>
      </c>
      <c r="E82" s="144"/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f t="shared" si="11"/>
        <v>0</v>
      </c>
    </row>
    <row r="83" spans="1:15" ht="16.5" customHeight="1">
      <c r="A83" s="145">
        <v>282</v>
      </c>
      <c r="B83" s="144"/>
      <c r="C83" s="144">
        <v>0</v>
      </c>
      <c r="D83" s="144">
        <v>0</v>
      </c>
      <c r="E83" s="144"/>
      <c r="F83" s="144">
        <v>0</v>
      </c>
      <c r="G83" s="144">
        <v>0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f t="shared" si="11"/>
        <v>0</v>
      </c>
    </row>
    <row r="84" spans="1:15" ht="16.5" customHeight="1">
      <c r="A84" s="145">
        <v>283</v>
      </c>
      <c r="B84" s="144"/>
      <c r="C84" s="144">
        <v>0</v>
      </c>
      <c r="D84" s="144">
        <v>0</v>
      </c>
      <c r="E84" s="144"/>
      <c r="F84" s="144">
        <v>0</v>
      </c>
      <c r="G84" s="144">
        <v>0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4">
        <f>SUM(C84:N84)</f>
        <v>0</v>
      </c>
    </row>
    <row r="85" spans="1:15" ht="16.5" customHeight="1">
      <c r="A85" s="145">
        <v>284</v>
      </c>
      <c r="B85" s="144"/>
      <c r="C85" s="144">
        <v>0</v>
      </c>
      <c r="D85" s="144">
        <v>0</v>
      </c>
      <c r="E85" s="144"/>
      <c r="F85" s="144">
        <v>0</v>
      </c>
      <c r="G85" s="144">
        <v>0</v>
      </c>
      <c r="H85" s="144">
        <v>0</v>
      </c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144">
        <v>0</v>
      </c>
      <c r="O85" s="144">
        <f>SUM(C85:N85)</f>
        <v>0</v>
      </c>
    </row>
    <row r="86" spans="1:15" ht="16.5" customHeight="1">
      <c r="A86" s="145" t="s">
        <v>69</v>
      </c>
      <c r="B86" s="144">
        <f>SUM(B74:B83)</f>
        <v>0</v>
      </c>
      <c r="C86" s="146">
        <f>SUM(C74:C83)</f>
        <v>7808</v>
      </c>
      <c r="D86" s="146">
        <f>SUM(D74:D83)</f>
        <v>300</v>
      </c>
      <c r="E86" s="146"/>
      <c r="F86" s="146">
        <f>SUM(F74:F85)</f>
        <v>110606.08</v>
      </c>
      <c r="G86" s="146">
        <f>SUM(G74:G83)</f>
        <v>0</v>
      </c>
      <c r="H86" s="146">
        <f>SUM(H74:H85)</f>
        <v>0</v>
      </c>
      <c r="I86" s="146">
        <f>SUM(I74:I85)</f>
        <v>0</v>
      </c>
      <c r="J86" s="146">
        <f>SUM(J74:J83)</f>
        <v>0</v>
      </c>
      <c r="K86" s="146">
        <f>SUM(K74:K85)</f>
        <v>0</v>
      </c>
      <c r="L86" s="146">
        <f>SUM(L74:L85)</f>
        <v>0</v>
      </c>
      <c r="M86" s="146">
        <f>SUM(M74:M85)</f>
        <v>0</v>
      </c>
      <c r="N86" s="146">
        <f>SUM(N74:N85)</f>
        <v>0</v>
      </c>
      <c r="O86" s="146">
        <f t="shared" si="11"/>
        <v>118714.08</v>
      </c>
    </row>
    <row r="87" spans="1:15" ht="16.5" customHeight="1">
      <c r="A87" s="145" t="s">
        <v>70</v>
      </c>
      <c r="B87" s="144">
        <v>0</v>
      </c>
      <c r="C87" s="147">
        <f>+C86</f>
        <v>7808</v>
      </c>
      <c r="D87" s="147">
        <f aca="true" t="shared" si="12" ref="D87:N87">+D86</f>
        <v>300</v>
      </c>
      <c r="E87" s="147"/>
      <c r="F87" s="147">
        <f t="shared" si="12"/>
        <v>110606.08</v>
      </c>
      <c r="G87" s="147">
        <f t="shared" si="12"/>
        <v>0</v>
      </c>
      <c r="H87" s="147">
        <f t="shared" si="12"/>
        <v>0</v>
      </c>
      <c r="I87" s="147">
        <f t="shared" si="12"/>
        <v>0</v>
      </c>
      <c r="J87" s="147">
        <f t="shared" si="12"/>
        <v>0</v>
      </c>
      <c r="K87" s="147">
        <f t="shared" si="12"/>
        <v>0</v>
      </c>
      <c r="L87" s="147">
        <f t="shared" si="12"/>
        <v>0</v>
      </c>
      <c r="M87" s="147">
        <f t="shared" si="12"/>
        <v>0</v>
      </c>
      <c r="N87" s="147">
        <f t="shared" si="12"/>
        <v>0</v>
      </c>
      <c r="O87" s="147">
        <f t="shared" si="11"/>
        <v>118714.08</v>
      </c>
    </row>
    <row r="88" spans="1:15" ht="17.25" customHeight="1">
      <c r="A88" s="145">
        <v>300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>
        <f t="shared" si="11"/>
        <v>0</v>
      </c>
    </row>
    <row r="89" spans="1:15" ht="17.25" customHeight="1">
      <c r="A89" s="145">
        <v>301</v>
      </c>
      <c r="B89" s="144"/>
      <c r="C89" s="144">
        <v>27945.85</v>
      </c>
      <c r="D89" s="144">
        <v>0</v>
      </c>
      <c r="E89" s="144"/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44">
        <f t="shared" si="11"/>
        <v>27945.85</v>
      </c>
    </row>
    <row r="90" spans="1:15" ht="17.25" customHeight="1">
      <c r="A90" s="145">
        <v>302</v>
      </c>
      <c r="B90" s="144"/>
      <c r="C90" s="144">
        <v>0</v>
      </c>
      <c r="D90" s="144">
        <v>0</v>
      </c>
      <c r="E90" s="144"/>
      <c r="F90" s="144">
        <v>0</v>
      </c>
      <c r="G90" s="144">
        <v>0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4">
        <f t="shared" si="11"/>
        <v>0</v>
      </c>
    </row>
    <row r="91" spans="1:15" ht="17.25" customHeight="1">
      <c r="A91" s="145">
        <v>303</v>
      </c>
      <c r="B91" s="144"/>
      <c r="C91" s="144">
        <v>0</v>
      </c>
      <c r="D91" s="144">
        <v>0</v>
      </c>
      <c r="E91" s="144"/>
      <c r="F91" s="144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44">
        <f t="shared" si="11"/>
        <v>0</v>
      </c>
    </row>
    <row r="92" spans="1:15" ht="17.25" customHeight="1">
      <c r="A92" s="145">
        <v>304</v>
      </c>
      <c r="B92" s="144"/>
      <c r="C92" s="144">
        <v>135.89</v>
      </c>
      <c r="D92" s="144">
        <v>0</v>
      </c>
      <c r="E92" s="144"/>
      <c r="F92" s="144">
        <v>0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4">
        <f t="shared" si="11"/>
        <v>135.89</v>
      </c>
    </row>
    <row r="93" spans="1:15" ht="17.25" customHeight="1">
      <c r="A93" s="145">
        <v>305</v>
      </c>
      <c r="B93" s="144"/>
      <c r="C93" s="144">
        <f>631.3+3000</f>
        <v>3631.3</v>
      </c>
      <c r="D93" s="144">
        <v>0</v>
      </c>
      <c r="E93" s="144"/>
      <c r="F93" s="144">
        <v>0</v>
      </c>
      <c r="G93" s="144">
        <v>0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144">
        <v>0</v>
      </c>
      <c r="O93" s="144">
        <f t="shared" si="11"/>
        <v>3631.3</v>
      </c>
    </row>
    <row r="94" spans="1:15" ht="19.5">
      <c r="A94" s="145" t="s">
        <v>69</v>
      </c>
      <c r="B94" s="144"/>
      <c r="C94" s="146">
        <f>SUM(C89:C93)</f>
        <v>31713.039999999997</v>
      </c>
      <c r="D94" s="144">
        <f>SUM(D88:D93)</f>
        <v>0</v>
      </c>
      <c r="E94" s="144"/>
      <c r="F94" s="144">
        <f>SUM(F88:F93)</f>
        <v>0</v>
      </c>
      <c r="G94" s="144">
        <f aca="true" t="shared" si="13" ref="G94:N94">SUM(G88:G93)</f>
        <v>0</v>
      </c>
      <c r="H94" s="144">
        <f t="shared" si="13"/>
        <v>0</v>
      </c>
      <c r="I94" s="144">
        <f t="shared" si="13"/>
        <v>0</v>
      </c>
      <c r="J94" s="144">
        <f t="shared" si="13"/>
        <v>0</v>
      </c>
      <c r="K94" s="144">
        <f t="shared" si="13"/>
        <v>0</v>
      </c>
      <c r="L94" s="144">
        <f t="shared" si="13"/>
        <v>0</v>
      </c>
      <c r="M94" s="144">
        <f t="shared" si="13"/>
        <v>0</v>
      </c>
      <c r="N94" s="144">
        <f t="shared" si="13"/>
        <v>0</v>
      </c>
      <c r="O94" s="144">
        <f t="shared" si="11"/>
        <v>31713.039999999997</v>
      </c>
    </row>
    <row r="95" spans="1:15" ht="19.5">
      <c r="A95" s="145" t="s">
        <v>70</v>
      </c>
      <c r="B95" s="144"/>
      <c r="C95" s="147">
        <f>SUM(C94)</f>
        <v>31713.039999999997</v>
      </c>
      <c r="D95" s="144">
        <f aca="true" t="shared" si="14" ref="D95:N95">+D94</f>
        <v>0</v>
      </c>
      <c r="E95" s="144"/>
      <c r="F95" s="144">
        <f t="shared" si="14"/>
        <v>0</v>
      </c>
      <c r="G95" s="144">
        <f t="shared" si="14"/>
        <v>0</v>
      </c>
      <c r="H95" s="144">
        <f t="shared" si="14"/>
        <v>0</v>
      </c>
      <c r="I95" s="144">
        <f t="shared" si="14"/>
        <v>0</v>
      </c>
      <c r="J95" s="144">
        <f t="shared" si="14"/>
        <v>0</v>
      </c>
      <c r="K95" s="144">
        <f t="shared" si="14"/>
        <v>0</v>
      </c>
      <c r="L95" s="144">
        <f t="shared" si="14"/>
        <v>0</v>
      </c>
      <c r="M95" s="144">
        <f t="shared" si="14"/>
        <v>0</v>
      </c>
      <c r="N95" s="144">
        <f t="shared" si="14"/>
        <v>0</v>
      </c>
      <c r="O95" s="144">
        <f t="shared" si="11"/>
        <v>31713.039999999997</v>
      </c>
    </row>
    <row r="96" spans="1:15" ht="19.5">
      <c r="A96" s="145">
        <v>400</v>
      </c>
      <c r="B96" s="144"/>
      <c r="C96" s="144">
        <v>0</v>
      </c>
      <c r="D96" s="144">
        <v>0</v>
      </c>
      <c r="E96" s="144"/>
      <c r="F96" s="144">
        <v>0</v>
      </c>
      <c r="G96" s="144">
        <v>0</v>
      </c>
      <c r="H96" s="144">
        <v>0</v>
      </c>
      <c r="I96" s="144">
        <v>0</v>
      </c>
      <c r="J96" s="144">
        <v>0</v>
      </c>
      <c r="K96" s="144">
        <v>0</v>
      </c>
      <c r="L96" s="144">
        <v>0</v>
      </c>
      <c r="M96" s="144">
        <v>0</v>
      </c>
      <c r="N96" s="144">
        <v>0</v>
      </c>
      <c r="O96" s="144">
        <f t="shared" si="11"/>
        <v>0</v>
      </c>
    </row>
    <row r="97" spans="1:15" ht="19.5">
      <c r="A97" s="145">
        <v>403</v>
      </c>
      <c r="B97" s="144"/>
      <c r="C97" s="144">
        <v>0</v>
      </c>
      <c r="D97" s="144">
        <v>0</v>
      </c>
      <c r="E97" s="144"/>
      <c r="F97" s="144">
        <f>121500+43200+90000+76500+52800+16000</f>
        <v>400000</v>
      </c>
      <c r="G97" s="144">
        <v>0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f t="shared" si="11"/>
        <v>400000</v>
      </c>
    </row>
    <row r="98" spans="1:15" ht="19.5">
      <c r="A98" s="145">
        <v>404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</row>
    <row r="99" spans="1:15" ht="19.5">
      <c r="A99" s="145" t="s">
        <v>69</v>
      </c>
      <c r="B99" s="144"/>
      <c r="C99" s="144">
        <f aca="true" t="shared" si="15" ref="C99:N99">SUM(C96:C97)</f>
        <v>0</v>
      </c>
      <c r="D99" s="144">
        <f t="shared" si="15"/>
        <v>0</v>
      </c>
      <c r="E99" s="144"/>
      <c r="F99" s="144">
        <f t="shared" si="15"/>
        <v>400000</v>
      </c>
      <c r="G99" s="144">
        <f t="shared" si="15"/>
        <v>0</v>
      </c>
      <c r="H99" s="144">
        <f t="shared" si="15"/>
        <v>0</v>
      </c>
      <c r="I99" s="144">
        <f t="shared" si="15"/>
        <v>0</v>
      </c>
      <c r="J99" s="144">
        <f t="shared" si="15"/>
        <v>0</v>
      </c>
      <c r="K99" s="144">
        <f t="shared" si="15"/>
        <v>0</v>
      </c>
      <c r="L99" s="144">
        <f t="shared" si="15"/>
        <v>0</v>
      </c>
      <c r="M99" s="144">
        <f t="shared" si="15"/>
        <v>0</v>
      </c>
      <c r="N99" s="144">
        <f t="shared" si="15"/>
        <v>0</v>
      </c>
      <c r="O99" s="144">
        <f t="shared" si="11"/>
        <v>400000</v>
      </c>
    </row>
    <row r="100" spans="1:15" ht="19.5">
      <c r="A100" s="145" t="s">
        <v>70</v>
      </c>
      <c r="B100" s="144"/>
      <c r="C100" s="144">
        <f>+C99</f>
        <v>0</v>
      </c>
      <c r="D100" s="144">
        <f aca="true" t="shared" si="16" ref="D100:N100">+D99</f>
        <v>0</v>
      </c>
      <c r="E100" s="144"/>
      <c r="F100" s="144">
        <f t="shared" si="16"/>
        <v>400000</v>
      </c>
      <c r="G100" s="144">
        <f t="shared" si="16"/>
        <v>0</v>
      </c>
      <c r="H100" s="144">
        <f t="shared" si="16"/>
        <v>0</v>
      </c>
      <c r="I100" s="144">
        <f t="shared" si="16"/>
        <v>0</v>
      </c>
      <c r="J100" s="144">
        <f t="shared" si="16"/>
        <v>0</v>
      </c>
      <c r="K100" s="144">
        <f t="shared" si="16"/>
        <v>0</v>
      </c>
      <c r="L100" s="144">
        <f t="shared" si="16"/>
        <v>0</v>
      </c>
      <c r="M100" s="144">
        <f t="shared" si="16"/>
        <v>0</v>
      </c>
      <c r="N100" s="144">
        <f t="shared" si="16"/>
        <v>0</v>
      </c>
      <c r="O100" s="144">
        <f t="shared" si="11"/>
        <v>400000</v>
      </c>
    </row>
    <row r="101" spans="1:15" ht="19.5">
      <c r="A101" s="151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 ht="21" customHeight="1">
      <c r="A102" s="242" t="s">
        <v>64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</row>
    <row r="103" spans="1:15" ht="21" customHeight="1">
      <c r="A103" s="230" t="s">
        <v>65</v>
      </c>
      <c r="B103" s="230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</row>
    <row r="104" spans="1:15" ht="21" customHeight="1">
      <c r="A104" s="228" t="s">
        <v>364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</row>
    <row r="105" spans="1:15" ht="21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ht="23.25" customHeight="1">
      <c r="A106" s="139" t="s">
        <v>66</v>
      </c>
      <c r="B106" s="238">
        <v>410</v>
      </c>
      <c r="C106" s="238">
        <v>110</v>
      </c>
      <c r="D106" s="238"/>
      <c r="E106" s="239">
        <v>120</v>
      </c>
      <c r="F106" s="238">
        <v>210</v>
      </c>
      <c r="G106" s="238"/>
      <c r="H106" s="238">
        <v>220</v>
      </c>
      <c r="I106" s="238">
        <v>230</v>
      </c>
      <c r="J106" s="238">
        <v>240</v>
      </c>
      <c r="K106" s="238"/>
      <c r="L106" s="238">
        <v>250</v>
      </c>
      <c r="M106" s="238">
        <v>260</v>
      </c>
      <c r="N106" s="238"/>
      <c r="O106" s="241" t="s">
        <v>24</v>
      </c>
    </row>
    <row r="107" spans="1:15" ht="19.5">
      <c r="A107" s="140" t="s">
        <v>67</v>
      </c>
      <c r="B107" s="238"/>
      <c r="C107" s="238"/>
      <c r="D107" s="238"/>
      <c r="E107" s="240"/>
      <c r="F107" s="238"/>
      <c r="G107" s="238"/>
      <c r="H107" s="238"/>
      <c r="I107" s="238"/>
      <c r="J107" s="238"/>
      <c r="K107" s="238"/>
      <c r="L107" s="238"/>
      <c r="M107" s="238"/>
      <c r="N107" s="238"/>
      <c r="O107" s="241"/>
    </row>
    <row r="108" spans="1:15" ht="19.5">
      <c r="A108" s="141" t="s">
        <v>68</v>
      </c>
      <c r="B108" s="142">
        <v>411</v>
      </c>
      <c r="C108" s="142">
        <v>111</v>
      </c>
      <c r="D108" s="142">
        <v>113</v>
      </c>
      <c r="E108" s="142">
        <v>123</v>
      </c>
      <c r="F108" s="142">
        <v>211</v>
      </c>
      <c r="G108" s="142">
        <v>212</v>
      </c>
      <c r="H108" s="142">
        <v>223</v>
      </c>
      <c r="I108" s="142">
        <v>232</v>
      </c>
      <c r="J108" s="142">
        <v>241</v>
      </c>
      <c r="K108" s="142">
        <v>242</v>
      </c>
      <c r="L108" s="142">
        <v>252</v>
      </c>
      <c r="M108" s="142">
        <v>262</v>
      </c>
      <c r="N108" s="142">
        <v>263</v>
      </c>
      <c r="O108" s="241"/>
    </row>
    <row r="109" spans="1:15" ht="19.5">
      <c r="A109" s="143">
        <v>450</v>
      </c>
      <c r="B109" s="144"/>
      <c r="C109" s="144">
        <v>0</v>
      </c>
      <c r="D109" s="144">
        <v>0</v>
      </c>
      <c r="E109" s="144"/>
      <c r="F109" s="144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f>SUM(B109:N109)</f>
        <v>0</v>
      </c>
    </row>
    <row r="110" spans="1:15" ht="19.5">
      <c r="A110" s="143">
        <v>451</v>
      </c>
      <c r="B110" s="144"/>
      <c r="C110" s="144">
        <v>0</v>
      </c>
      <c r="D110" s="144">
        <v>0</v>
      </c>
      <c r="E110" s="144"/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f aca="true" t="shared" si="17" ref="O110:O127">SUM(B110:N110)</f>
        <v>0</v>
      </c>
    </row>
    <row r="111" spans="1:15" ht="19.5">
      <c r="A111" s="145">
        <v>454</v>
      </c>
      <c r="B111" s="144"/>
      <c r="C111" s="144">
        <v>0</v>
      </c>
      <c r="D111" s="144">
        <v>0</v>
      </c>
      <c r="E111" s="144"/>
      <c r="F111" s="144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f t="shared" si="17"/>
        <v>0</v>
      </c>
    </row>
    <row r="112" spans="1:15" ht="19.5">
      <c r="A112" s="145">
        <v>456</v>
      </c>
      <c r="B112" s="144"/>
      <c r="C112" s="144">
        <v>0</v>
      </c>
      <c r="D112" s="144">
        <v>0</v>
      </c>
      <c r="E112" s="144"/>
      <c r="F112" s="144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/>
      <c r="O112" s="144">
        <f t="shared" si="17"/>
        <v>0</v>
      </c>
    </row>
    <row r="113" spans="1:15" ht="19.5">
      <c r="A113" s="145">
        <v>457</v>
      </c>
      <c r="B113" s="144"/>
      <c r="C113" s="144">
        <v>0</v>
      </c>
      <c r="D113" s="144">
        <v>0</v>
      </c>
      <c r="E113" s="144"/>
      <c r="F113" s="144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f t="shared" si="17"/>
        <v>0</v>
      </c>
    </row>
    <row r="114" spans="1:15" ht="19.5">
      <c r="A114" s="145">
        <v>463</v>
      </c>
      <c r="B114" s="144"/>
      <c r="C114" s="144">
        <v>0</v>
      </c>
      <c r="D114" s="144">
        <v>0</v>
      </c>
      <c r="E114" s="144"/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f>SUM(B114:N114)</f>
        <v>0</v>
      </c>
    </row>
    <row r="115" spans="1:15" ht="19.5">
      <c r="A115" s="145">
        <v>466</v>
      </c>
      <c r="B115" s="144"/>
      <c r="C115" s="144">
        <v>0</v>
      </c>
      <c r="D115" s="144">
        <v>0</v>
      </c>
      <c r="E115" s="144"/>
      <c r="F115" s="144">
        <v>0</v>
      </c>
      <c r="G115" s="144">
        <v>0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f>SUM(C115:N115)</f>
        <v>0</v>
      </c>
    </row>
    <row r="116" spans="1:15" ht="19.5">
      <c r="A116" s="145" t="s">
        <v>69</v>
      </c>
      <c r="B116" s="144"/>
      <c r="C116" s="144">
        <f>SUM(C109:C114)</f>
        <v>0</v>
      </c>
      <c r="D116" s="144">
        <f>SUM(D109:D114)</f>
        <v>0</v>
      </c>
      <c r="E116" s="144"/>
      <c r="F116" s="144">
        <f aca="true" t="shared" si="18" ref="F116:N116">SUM(F109:F114)</f>
        <v>0</v>
      </c>
      <c r="G116" s="144">
        <f t="shared" si="18"/>
        <v>0</v>
      </c>
      <c r="H116" s="144">
        <f t="shared" si="18"/>
        <v>0</v>
      </c>
      <c r="I116" s="144">
        <f t="shared" si="18"/>
        <v>0</v>
      </c>
      <c r="J116" s="144">
        <f t="shared" si="18"/>
        <v>0</v>
      </c>
      <c r="K116" s="144">
        <f t="shared" si="18"/>
        <v>0</v>
      </c>
      <c r="L116" s="144">
        <f t="shared" si="18"/>
        <v>0</v>
      </c>
      <c r="M116" s="144">
        <f t="shared" si="18"/>
        <v>0</v>
      </c>
      <c r="N116" s="144">
        <f t="shared" si="18"/>
        <v>0</v>
      </c>
      <c r="O116" s="144">
        <f t="shared" si="17"/>
        <v>0</v>
      </c>
    </row>
    <row r="117" spans="1:15" ht="19.5">
      <c r="A117" s="145" t="s">
        <v>70</v>
      </c>
      <c r="B117" s="144"/>
      <c r="C117" s="144">
        <f>+C116</f>
        <v>0</v>
      </c>
      <c r="D117" s="144">
        <f aca="true" t="shared" si="19" ref="D117:N117">+D116</f>
        <v>0</v>
      </c>
      <c r="E117" s="144"/>
      <c r="F117" s="144">
        <f t="shared" si="19"/>
        <v>0</v>
      </c>
      <c r="G117" s="144">
        <f t="shared" si="19"/>
        <v>0</v>
      </c>
      <c r="H117" s="144">
        <f t="shared" si="19"/>
        <v>0</v>
      </c>
      <c r="I117" s="144">
        <f t="shared" si="19"/>
        <v>0</v>
      </c>
      <c r="J117" s="144">
        <f t="shared" si="19"/>
        <v>0</v>
      </c>
      <c r="K117" s="144">
        <f t="shared" si="19"/>
        <v>0</v>
      </c>
      <c r="L117" s="144">
        <f t="shared" si="19"/>
        <v>0</v>
      </c>
      <c r="M117" s="144">
        <f t="shared" si="19"/>
        <v>0</v>
      </c>
      <c r="N117" s="144">
        <f t="shared" si="19"/>
        <v>0</v>
      </c>
      <c r="O117" s="144">
        <f t="shared" si="17"/>
        <v>0</v>
      </c>
    </row>
    <row r="118" spans="1:15" ht="19.5">
      <c r="A118" s="145">
        <v>500</v>
      </c>
      <c r="B118" s="144"/>
      <c r="C118" s="144">
        <v>0</v>
      </c>
      <c r="D118" s="144">
        <v>0</v>
      </c>
      <c r="E118" s="144"/>
      <c r="F118" s="144">
        <v>0</v>
      </c>
      <c r="G118" s="144">
        <v>0</v>
      </c>
      <c r="H118" s="144">
        <v>0</v>
      </c>
      <c r="I118" s="144">
        <v>0</v>
      </c>
      <c r="J118" s="144">
        <v>0</v>
      </c>
      <c r="K118" s="144">
        <v>0</v>
      </c>
      <c r="L118" s="144">
        <v>0</v>
      </c>
      <c r="M118" s="144">
        <v>0</v>
      </c>
      <c r="N118" s="144">
        <v>0</v>
      </c>
      <c r="O118" s="144">
        <f t="shared" si="17"/>
        <v>0</v>
      </c>
    </row>
    <row r="119" spans="1:15" ht="19.5">
      <c r="A119" s="145">
        <v>501</v>
      </c>
      <c r="B119" s="144"/>
      <c r="C119" s="144">
        <v>0</v>
      </c>
      <c r="D119" s="144">
        <v>0</v>
      </c>
      <c r="E119" s="144"/>
      <c r="F119" s="144">
        <v>0</v>
      </c>
      <c r="G119" s="144">
        <v>0</v>
      </c>
      <c r="H119" s="144">
        <v>0</v>
      </c>
      <c r="I119" s="144">
        <v>0</v>
      </c>
      <c r="J119" s="144">
        <v>0</v>
      </c>
      <c r="K119" s="144">
        <v>0</v>
      </c>
      <c r="L119" s="144">
        <v>0</v>
      </c>
      <c r="M119" s="144">
        <v>0</v>
      </c>
      <c r="N119" s="144">
        <v>0</v>
      </c>
      <c r="O119" s="144">
        <f>SUM(C119:N119)</f>
        <v>0</v>
      </c>
    </row>
    <row r="120" spans="1:15" ht="19.5">
      <c r="A120" s="145">
        <v>509</v>
      </c>
      <c r="B120" s="144"/>
      <c r="C120" s="144">
        <v>0</v>
      </c>
      <c r="D120" s="144">
        <v>0</v>
      </c>
      <c r="E120" s="144"/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44">
        <v>0</v>
      </c>
      <c r="N120" s="144">
        <v>0</v>
      </c>
      <c r="O120" s="144">
        <f t="shared" si="17"/>
        <v>0</v>
      </c>
    </row>
    <row r="121" spans="1:15" ht="19.5">
      <c r="A121" s="145">
        <v>513</v>
      </c>
      <c r="B121" s="144"/>
      <c r="C121" s="144">
        <v>0</v>
      </c>
      <c r="D121" s="144">
        <v>0</v>
      </c>
      <c r="E121" s="144"/>
      <c r="F121" s="144">
        <v>0</v>
      </c>
      <c r="G121" s="144">
        <v>0</v>
      </c>
      <c r="H121" s="144">
        <v>0</v>
      </c>
      <c r="I121" s="144">
        <v>0</v>
      </c>
      <c r="J121" s="144">
        <v>0</v>
      </c>
      <c r="K121" s="144">
        <v>0</v>
      </c>
      <c r="L121" s="144">
        <v>0</v>
      </c>
      <c r="M121" s="144">
        <v>0</v>
      </c>
      <c r="N121" s="144">
        <v>0</v>
      </c>
      <c r="O121" s="144">
        <f t="shared" si="17"/>
        <v>0</v>
      </c>
    </row>
    <row r="122" spans="1:15" ht="19.5">
      <c r="A122" s="145">
        <v>514</v>
      </c>
      <c r="B122" s="144"/>
      <c r="C122" s="144">
        <v>0</v>
      </c>
      <c r="D122" s="144">
        <v>0</v>
      </c>
      <c r="E122" s="144"/>
      <c r="F122" s="144">
        <v>0</v>
      </c>
      <c r="G122" s="144">
        <v>0</v>
      </c>
      <c r="H122" s="144">
        <v>0</v>
      </c>
      <c r="I122" s="144">
        <v>0</v>
      </c>
      <c r="J122" s="144">
        <v>0</v>
      </c>
      <c r="K122" s="144">
        <v>0</v>
      </c>
      <c r="L122" s="144">
        <v>0</v>
      </c>
      <c r="M122" s="144">
        <v>0</v>
      </c>
      <c r="N122" s="144">
        <v>0</v>
      </c>
      <c r="O122" s="144">
        <f t="shared" si="17"/>
        <v>0</v>
      </c>
    </row>
    <row r="123" spans="1:15" ht="19.5">
      <c r="A123" s="145">
        <v>516</v>
      </c>
      <c r="B123" s="144"/>
      <c r="C123" s="144">
        <v>0</v>
      </c>
      <c r="D123" s="144">
        <v>0</v>
      </c>
      <c r="E123" s="144"/>
      <c r="F123" s="144">
        <v>0</v>
      </c>
      <c r="G123" s="144">
        <v>0</v>
      </c>
      <c r="H123" s="144">
        <v>0</v>
      </c>
      <c r="I123" s="144">
        <v>0</v>
      </c>
      <c r="J123" s="144">
        <v>0</v>
      </c>
      <c r="K123" s="144">
        <v>0</v>
      </c>
      <c r="L123" s="144">
        <v>0</v>
      </c>
      <c r="M123" s="144">
        <v>0</v>
      </c>
      <c r="N123" s="144">
        <v>0</v>
      </c>
      <c r="O123" s="144">
        <f t="shared" si="17"/>
        <v>0</v>
      </c>
    </row>
    <row r="124" spans="1:15" ht="19.5">
      <c r="A124" s="145">
        <v>518</v>
      </c>
      <c r="B124" s="144"/>
      <c r="C124" s="144">
        <v>0</v>
      </c>
      <c r="D124" s="144">
        <v>0</v>
      </c>
      <c r="E124" s="144"/>
      <c r="F124" s="144">
        <v>0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f t="shared" si="17"/>
        <v>0</v>
      </c>
    </row>
    <row r="125" spans="1:15" ht="19.5">
      <c r="A125" s="145">
        <v>519</v>
      </c>
      <c r="B125" s="144"/>
      <c r="C125" s="144">
        <v>0</v>
      </c>
      <c r="D125" s="144">
        <v>0</v>
      </c>
      <c r="E125" s="144"/>
      <c r="F125" s="144">
        <v>0</v>
      </c>
      <c r="G125" s="144">
        <v>0</v>
      </c>
      <c r="H125" s="144">
        <v>0</v>
      </c>
      <c r="I125" s="144">
        <v>0</v>
      </c>
      <c r="J125" s="144">
        <v>0</v>
      </c>
      <c r="K125" s="144">
        <v>0</v>
      </c>
      <c r="L125" s="144">
        <v>0</v>
      </c>
      <c r="M125" s="144">
        <v>0</v>
      </c>
      <c r="N125" s="144">
        <v>0</v>
      </c>
      <c r="O125" s="144">
        <f t="shared" si="17"/>
        <v>0</v>
      </c>
    </row>
    <row r="126" spans="1:15" ht="19.5">
      <c r="A126" s="145" t="s">
        <v>69</v>
      </c>
      <c r="B126" s="144"/>
      <c r="C126" s="144">
        <f>SUM(C118:C125)</f>
        <v>0</v>
      </c>
      <c r="D126" s="144">
        <f>SUM(D118:D125)</f>
        <v>0</v>
      </c>
      <c r="E126" s="144"/>
      <c r="F126" s="144"/>
      <c r="G126" s="144"/>
      <c r="H126" s="144"/>
      <c r="I126" s="144"/>
      <c r="J126" s="144">
        <f>SUM(J118:J125)</f>
        <v>0</v>
      </c>
      <c r="K126" s="144"/>
      <c r="L126" s="144"/>
      <c r="M126" s="144"/>
      <c r="N126" s="144"/>
      <c r="O126" s="144">
        <f t="shared" si="17"/>
        <v>0</v>
      </c>
    </row>
    <row r="127" spans="1:15" ht="20.25" thickBot="1">
      <c r="A127" s="153" t="s">
        <v>70</v>
      </c>
      <c r="B127" s="154"/>
      <c r="C127" s="154">
        <f>+C126</f>
        <v>0</v>
      </c>
      <c r="D127" s="154">
        <f aca="true" t="shared" si="20" ref="D127:N127">+D126</f>
        <v>0</v>
      </c>
      <c r="E127" s="154"/>
      <c r="F127" s="154">
        <f t="shared" si="20"/>
        <v>0</v>
      </c>
      <c r="G127" s="154">
        <f t="shared" si="20"/>
        <v>0</v>
      </c>
      <c r="H127" s="154">
        <f t="shared" si="20"/>
        <v>0</v>
      </c>
      <c r="I127" s="154">
        <f t="shared" si="20"/>
        <v>0</v>
      </c>
      <c r="J127" s="154">
        <f t="shared" si="20"/>
        <v>0</v>
      </c>
      <c r="K127" s="154">
        <f t="shared" si="20"/>
        <v>0</v>
      </c>
      <c r="L127" s="154">
        <f t="shared" si="20"/>
        <v>0</v>
      </c>
      <c r="M127" s="154">
        <f t="shared" si="20"/>
        <v>0</v>
      </c>
      <c r="N127" s="154">
        <f t="shared" si="20"/>
        <v>0</v>
      </c>
      <c r="O127" s="154">
        <f t="shared" si="17"/>
        <v>0</v>
      </c>
    </row>
    <row r="128" spans="1:15" ht="24.75" customHeight="1" thickBot="1">
      <c r="A128" s="155" t="s">
        <v>78</v>
      </c>
      <c r="B128" s="220">
        <f>SUM(B12+B21+B25+B29+B50+B57+B86+B94+B99+B116+B126)</f>
        <v>97727</v>
      </c>
      <c r="C128" s="220">
        <f>SUM(C94+C21+C25+C29+C50+C57+C86+C94+C99+C116+C126)</f>
        <v>535671.48</v>
      </c>
      <c r="D128" s="220">
        <f>SUM(D12+D21+D25+D29+D50+D57+D86+D94+D99+D116+D126)</f>
        <v>96220</v>
      </c>
      <c r="E128" s="220"/>
      <c r="F128" s="220">
        <f aca="true" t="shared" si="21" ref="F128:O128">SUM(F12+F21+F25+F29+F50+F57+F86+F94+F99+F116+F126)</f>
        <v>616006.0800000001</v>
      </c>
      <c r="G128" s="220">
        <f t="shared" si="21"/>
        <v>0</v>
      </c>
      <c r="H128" s="220">
        <f t="shared" si="21"/>
        <v>0</v>
      </c>
      <c r="I128" s="220">
        <f t="shared" si="21"/>
        <v>0</v>
      </c>
      <c r="J128" s="220">
        <f t="shared" si="21"/>
        <v>50245</v>
      </c>
      <c r="K128" s="220">
        <f t="shared" si="21"/>
        <v>0</v>
      </c>
      <c r="L128" s="220">
        <f t="shared" si="21"/>
        <v>0</v>
      </c>
      <c r="M128" s="220">
        <f t="shared" si="21"/>
        <v>0</v>
      </c>
      <c r="N128" s="220">
        <f t="shared" si="21"/>
        <v>0</v>
      </c>
      <c r="O128" s="220">
        <f t="shared" si="21"/>
        <v>1364156.52</v>
      </c>
    </row>
    <row r="129" spans="1:15" ht="24.75" customHeight="1" thickBot="1" thickTop="1">
      <c r="A129" s="156" t="s">
        <v>79</v>
      </c>
      <c r="B129" s="221">
        <f>SUM(B13+B22+B26+B30+B51+B58+B87+B95+B100+B117+B127)</f>
        <v>97727</v>
      </c>
      <c r="C129" s="221">
        <f>SUM(C128)</f>
        <v>535671.48</v>
      </c>
      <c r="D129" s="221">
        <f>SUM(D13+D22+D26+D30+D51+D58+D87+D95+D100+D117+D127)</f>
        <v>96220</v>
      </c>
      <c r="E129" s="221"/>
      <c r="F129" s="221">
        <f aca="true" t="shared" si="22" ref="F129:O129">SUM(F13+F22+F26+F30+F51+F58+F87+F95+F100+F117+F127)</f>
        <v>616006.0800000001</v>
      </c>
      <c r="G129" s="221">
        <f t="shared" si="22"/>
        <v>0</v>
      </c>
      <c r="H129" s="221">
        <f t="shared" si="22"/>
        <v>0</v>
      </c>
      <c r="I129" s="221">
        <f t="shared" si="22"/>
        <v>0</v>
      </c>
      <c r="J129" s="221">
        <f t="shared" si="22"/>
        <v>50245</v>
      </c>
      <c r="K129" s="221">
        <f t="shared" si="22"/>
        <v>0</v>
      </c>
      <c r="L129" s="221">
        <f t="shared" si="22"/>
        <v>0</v>
      </c>
      <c r="M129" s="221">
        <f t="shared" si="22"/>
        <v>0</v>
      </c>
      <c r="N129" s="221">
        <f t="shared" si="22"/>
        <v>0</v>
      </c>
      <c r="O129" s="221">
        <f t="shared" si="22"/>
        <v>1364156.52</v>
      </c>
    </row>
    <row r="130" ht="22.5" thickTop="1"/>
  </sheetData>
  <sheetProtection/>
  <mergeCells count="52">
    <mergeCell ref="A69:O69"/>
    <mergeCell ref="A35:O35"/>
    <mergeCell ref="A36:O36"/>
    <mergeCell ref="I5:I6"/>
    <mergeCell ref="M5:N6"/>
    <mergeCell ref="E5:E6"/>
    <mergeCell ref="J5:K6"/>
    <mergeCell ref="L5:L6"/>
    <mergeCell ref="L39:L40"/>
    <mergeCell ref="A37:O37"/>
    <mergeCell ref="L71:L72"/>
    <mergeCell ref="J39:K40"/>
    <mergeCell ref="A1:O1"/>
    <mergeCell ref="A2:O2"/>
    <mergeCell ref="A3:O3"/>
    <mergeCell ref="B5:B6"/>
    <mergeCell ref="C5:D6"/>
    <mergeCell ref="F5:G6"/>
    <mergeCell ref="H5:H6"/>
    <mergeCell ref="O5:O7"/>
    <mergeCell ref="B39:B40"/>
    <mergeCell ref="C39:D40"/>
    <mergeCell ref="F39:G40"/>
    <mergeCell ref="A67:O67"/>
    <mergeCell ref="A68:O68"/>
    <mergeCell ref="E39:E40"/>
    <mergeCell ref="B71:B72"/>
    <mergeCell ref="M39:N40"/>
    <mergeCell ref="O39:O41"/>
    <mergeCell ref="H71:H72"/>
    <mergeCell ref="H39:H40"/>
    <mergeCell ref="I39:I40"/>
    <mergeCell ref="E71:E72"/>
    <mergeCell ref="C71:D72"/>
    <mergeCell ref="F71:G72"/>
    <mergeCell ref="O71:O73"/>
    <mergeCell ref="M106:N107"/>
    <mergeCell ref="O106:O108"/>
    <mergeCell ref="I71:I72"/>
    <mergeCell ref="J71:K72"/>
    <mergeCell ref="C106:D107"/>
    <mergeCell ref="F106:G107"/>
    <mergeCell ref="A103:O103"/>
    <mergeCell ref="M71:N72"/>
    <mergeCell ref="A104:O104"/>
    <mergeCell ref="A102:O102"/>
    <mergeCell ref="B106:B107"/>
    <mergeCell ref="J106:K107"/>
    <mergeCell ref="L106:L107"/>
    <mergeCell ref="H106:H107"/>
    <mergeCell ref="I106:I107"/>
    <mergeCell ref="E106:E107"/>
  </mergeCells>
  <printOptions/>
  <pageMargins left="0.3937007874015748" right="0.2362204724409449" top="0.11811023622047245" bottom="0" header="0.35433070866141736" footer="0.1574803149606299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5"/>
  <sheetViews>
    <sheetView zoomScalePageLayoutView="0" workbookViewId="0" topLeftCell="A190">
      <selection activeCell="B10" sqref="B10"/>
    </sheetView>
  </sheetViews>
  <sheetFormatPr defaultColWidth="9.140625" defaultRowHeight="23.25"/>
  <cols>
    <col min="1" max="1" width="23.8515625" style="16" customWidth="1"/>
    <col min="2" max="2" width="20.421875" style="16" customWidth="1"/>
    <col min="3" max="3" width="4.00390625" style="16" customWidth="1"/>
    <col min="4" max="4" width="14.00390625" style="17" customWidth="1"/>
    <col min="5" max="5" width="3.00390625" style="16" customWidth="1"/>
    <col min="6" max="6" width="1.57421875" style="16" customWidth="1"/>
    <col min="7" max="7" width="29.57421875" style="17" customWidth="1"/>
    <col min="8" max="16384" width="9.140625" style="16" customWidth="1"/>
  </cols>
  <sheetData>
    <row r="1" spans="1:8" s="66" customFormat="1" ht="24">
      <c r="A1" s="104" t="s">
        <v>100</v>
      </c>
      <c r="B1" s="104"/>
      <c r="C1" s="105" t="s">
        <v>117</v>
      </c>
      <c r="D1" s="106"/>
      <c r="E1" s="104"/>
      <c r="F1" s="104"/>
      <c r="G1" s="106"/>
      <c r="H1" s="66">
        <v>1</v>
      </c>
    </row>
    <row r="2" spans="1:12" s="66" customFormat="1" ht="24">
      <c r="A2" s="104"/>
      <c r="B2" s="104"/>
      <c r="C2" s="105" t="s">
        <v>194</v>
      </c>
      <c r="D2" s="106"/>
      <c r="E2" s="104"/>
      <c r="F2" s="104"/>
      <c r="G2" s="106"/>
      <c r="I2" s="74" t="s">
        <v>208</v>
      </c>
      <c r="L2" s="74" t="s">
        <v>214</v>
      </c>
    </row>
    <row r="3" spans="1:7" s="66" customFormat="1" ht="24">
      <c r="A3" s="104" t="s">
        <v>80</v>
      </c>
      <c r="B3" s="104"/>
      <c r="C3" s="105"/>
      <c r="D3" s="106"/>
      <c r="E3" s="104"/>
      <c r="F3" s="104"/>
      <c r="G3" s="106"/>
    </row>
    <row r="4" spans="1:9" s="66" customFormat="1" ht="24">
      <c r="A4" s="107"/>
      <c r="B4" s="107"/>
      <c r="C4" s="108"/>
      <c r="D4" s="109"/>
      <c r="E4" s="107"/>
      <c r="F4" s="107"/>
      <c r="G4" s="109"/>
      <c r="I4" s="74" t="s">
        <v>227</v>
      </c>
    </row>
    <row r="5" spans="1:7" s="66" customFormat="1" ht="24">
      <c r="A5" s="104" t="s">
        <v>257</v>
      </c>
      <c r="B5" s="104"/>
      <c r="C5" s="104"/>
      <c r="D5" s="106"/>
      <c r="E5" s="104"/>
      <c r="F5" s="110"/>
      <c r="G5" s="106">
        <v>9735916.13</v>
      </c>
    </row>
    <row r="6" spans="1:7" s="66" customFormat="1" ht="24">
      <c r="A6" s="111" t="s">
        <v>211</v>
      </c>
      <c r="B6" s="104"/>
      <c r="C6" s="104"/>
      <c r="D6" s="106"/>
      <c r="E6" s="104"/>
      <c r="F6" s="105"/>
      <c r="G6" s="106"/>
    </row>
    <row r="7" spans="1:7" s="67" customFormat="1" ht="24">
      <c r="A7" s="112" t="s">
        <v>81</v>
      </c>
      <c r="B7" s="112" t="s">
        <v>82</v>
      </c>
      <c r="C7" s="112"/>
      <c r="D7" s="113" t="s">
        <v>83</v>
      </c>
      <c r="E7" s="112"/>
      <c r="F7" s="114"/>
      <c r="G7" s="113"/>
    </row>
    <row r="8" spans="1:7" s="68" customFormat="1" ht="24">
      <c r="A8" s="115"/>
      <c r="B8" s="115"/>
      <c r="C8" s="116"/>
      <c r="D8" s="103"/>
      <c r="E8" s="116"/>
      <c r="F8" s="117"/>
      <c r="G8" s="103"/>
    </row>
    <row r="9" spans="1:7" s="68" customFormat="1" ht="24">
      <c r="A9" s="115"/>
      <c r="B9" s="115"/>
      <c r="C9" s="116"/>
      <c r="D9" s="103"/>
      <c r="E9" s="116"/>
      <c r="F9" s="117"/>
      <c r="G9" s="103"/>
    </row>
    <row r="10" spans="1:7" s="68" customFormat="1" ht="24">
      <c r="A10" s="115"/>
      <c r="B10" s="115"/>
      <c r="C10" s="116"/>
      <c r="D10" s="103"/>
      <c r="E10" s="116"/>
      <c r="F10" s="117"/>
      <c r="G10" s="103"/>
    </row>
    <row r="11" spans="1:7" s="68" customFormat="1" ht="24">
      <c r="A11" s="115"/>
      <c r="B11" s="116"/>
      <c r="C11" s="116"/>
      <c r="D11" s="103"/>
      <c r="E11" s="116"/>
      <c r="F11" s="117"/>
      <c r="G11" s="103"/>
    </row>
    <row r="12" spans="1:7" s="68" customFormat="1" ht="24">
      <c r="A12" s="115"/>
      <c r="B12" s="116"/>
      <c r="C12" s="116"/>
      <c r="D12" s="103"/>
      <c r="E12" s="116"/>
      <c r="F12" s="117"/>
      <c r="G12" s="103"/>
    </row>
    <row r="13" spans="1:7" s="68" customFormat="1" ht="24">
      <c r="A13" s="118"/>
      <c r="B13" s="118"/>
      <c r="C13" s="118"/>
      <c r="D13" s="119"/>
      <c r="E13" s="118"/>
      <c r="F13" s="120"/>
      <c r="G13" s="119"/>
    </row>
    <row r="14" spans="1:7" s="66" customFormat="1" ht="24">
      <c r="A14" s="111" t="s">
        <v>212</v>
      </c>
      <c r="B14" s="104"/>
      <c r="C14" s="104"/>
      <c r="D14" s="106"/>
      <c r="E14" s="104"/>
      <c r="F14" s="105"/>
      <c r="G14" s="106"/>
    </row>
    <row r="15" spans="1:7" s="67" customFormat="1" ht="24">
      <c r="A15" s="112" t="s">
        <v>84</v>
      </c>
      <c r="B15" s="112" t="s">
        <v>85</v>
      </c>
      <c r="C15" s="112"/>
      <c r="D15" s="113" t="s">
        <v>83</v>
      </c>
      <c r="E15" s="112"/>
      <c r="F15" s="114"/>
      <c r="G15" s="113"/>
    </row>
    <row r="16" spans="1:7" s="68" customFormat="1" ht="24">
      <c r="A16" s="121" t="s">
        <v>220</v>
      </c>
      <c r="B16" s="122">
        <v>3260457</v>
      </c>
      <c r="C16" s="116"/>
      <c r="D16" s="103">
        <v>5827</v>
      </c>
      <c r="E16" s="116"/>
      <c r="F16" s="117"/>
      <c r="G16" s="103">
        <v>65604.21</v>
      </c>
    </row>
    <row r="17" spans="1:7" s="68" customFormat="1" ht="24">
      <c r="A17" s="121" t="s">
        <v>220</v>
      </c>
      <c r="B17" s="132" t="s">
        <v>221</v>
      </c>
      <c r="C17" s="116"/>
      <c r="D17" s="103">
        <v>23760</v>
      </c>
      <c r="E17" s="116"/>
      <c r="F17" s="117"/>
      <c r="G17" s="103"/>
    </row>
    <row r="18" spans="1:7" s="68" customFormat="1" ht="24">
      <c r="A18" s="121" t="s">
        <v>220</v>
      </c>
      <c r="B18" s="132" t="s">
        <v>223</v>
      </c>
      <c r="C18" s="116"/>
      <c r="D18" s="103">
        <v>17525.87</v>
      </c>
      <c r="E18" s="116"/>
      <c r="F18" s="117"/>
      <c r="G18" s="103"/>
    </row>
    <row r="19" spans="1:7" s="68" customFormat="1" ht="24">
      <c r="A19" s="121" t="s">
        <v>220</v>
      </c>
      <c r="B19" s="132" t="s">
        <v>224</v>
      </c>
      <c r="C19" s="116"/>
      <c r="D19" s="103">
        <v>1981.31</v>
      </c>
      <c r="E19" s="116"/>
      <c r="F19" s="117"/>
      <c r="G19" s="103"/>
    </row>
    <row r="20" spans="1:7" s="68" customFormat="1" ht="24">
      <c r="A20" s="121" t="s">
        <v>220</v>
      </c>
      <c r="B20" s="132" t="s">
        <v>225</v>
      </c>
      <c r="C20" s="116"/>
      <c r="D20" s="103">
        <v>7600</v>
      </c>
      <c r="E20" s="116"/>
      <c r="F20" s="117"/>
      <c r="G20" s="103"/>
    </row>
    <row r="21" spans="1:7" s="68" customFormat="1" ht="24">
      <c r="A21" s="121" t="s">
        <v>220</v>
      </c>
      <c r="B21" s="132" t="s">
        <v>226</v>
      </c>
      <c r="C21" s="116"/>
      <c r="D21" s="103">
        <v>8910</v>
      </c>
      <c r="E21" s="116"/>
      <c r="F21" s="117"/>
      <c r="G21" s="103"/>
    </row>
    <row r="22" spans="1:7" s="68" customFormat="1" ht="24">
      <c r="A22" s="121"/>
      <c r="B22" s="122"/>
      <c r="C22" s="116"/>
      <c r="D22" s="103"/>
      <c r="E22" s="116"/>
      <c r="F22" s="117"/>
      <c r="G22" s="103"/>
    </row>
    <row r="23" spans="1:7" s="68" customFormat="1" ht="24">
      <c r="A23" s="115"/>
      <c r="B23" s="121"/>
      <c r="C23" s="116"/>
      <c r="D23" s="103"/>
      <c r="E23" s="116"/>
      <c r="F23" s="117"/>
      <c r="G23" s="103"/>
    </row>
    <row r="24" spans="1:7" s="66" customFormat="1" ht="24">
      <c r="A24" s="111" t="s">
        <v>213</v>
      </c>
      <c r="B24" s="104"/>
      <c r="C24" s="104"/>
      <c r="D24" s="106"/>
      <c r="E24" s="104"/>
      <c r="F24" s="105"/>
      <c r="G24" s="106"/>
    </row>
    <row r="25" spans="1:7" s="66" customFormat="1" ht="24">
      <c r="A25" s="111" t="s">
        <v>86</v>
      </c>
      <c r="B25" s="104"/>
      <c r="C25" s="104"/>
      <c r="D25" s="106"/>
      <c r="E25" s="104"/>
      <c r="F25" s="105"/>
      <c r="G25" s="106"/>
    </row>
    <row r="26" spans="1:7" s="68" customFormat="1" ht="24">
      <c r="A26" s="116"/>
      <c r="B26" s="116"/>
      <c r="C26" s="116"/>
      <c r="D26" s="103"/>
      <c r="E26" s="116"/>
      <c r="F26" s="117"/>
      <c r="G26" s="103"/>
    </row>
    <row r="27" spans="1:7" s="68" customFormat="1" ht="24">
      <c r="A27" s="116"/>
      <c r="B27" s="116"/>
      <c r="C27" s="116"/>
      <c r="D27" s="103"/>
      <c r="E27" s="116"/>
      <c r="F27" s="117"/>
      <c r="G27" s="103"/>
    </row>
    <row r="28" spans="1:7" s="66" customFormat="1" ht="24">
      <c r="A28" s="104" t="s">
        <v>228</v>
      </c>
      <c r="B28" s="104"/>
      <c r="C28" s="104"/>
      <c r="D28" s="106"/>
      <c r="E28" s="104"/>
      <c r="F28" s="108"/>
      <c r="G28" s="106">
        <f>SUM(G5-G16)</f>
        <v>9670311.92</v>
      </c>
    </row>
    <row r="29" spans="1:7" s="68" customFormat="1" ht="24">
      <c r="A29" s="123" t="s">
        <v>87</v>
      </c>
      <c r="B29" s="123"/>
      <c r="C29" s="123"/>
      <c r="D29" s="124" t="s">
        <v>88</v>
      </c>
      <c r="E29" s="123"/>
      <c r="F29" s="123"/>
      <c r="G29" s="125"/>
    </row>
    <row r="30" spans="1:7" s="68" customFormat="1" ht="24">
      <c r="A30" s="118"/>
      <c r="B30" s="118"/>
      <c r="C30" s="118"/>
      <c r="D30" s="126"/>
      <c r="E30" s="118"/>
      <c r="F30" s="118"/>
      <c r="G30" s="119"/>
    </row>
    <row r="31" spans="1:7" s="68" customFormat="1" ht="24">
      <c r="A31" s="118" t="s">
        <v>230</v>
      </c>
      <c r="B31" s="118"/>
      <c r="C31" s="118"/>
      <c r="D31" s="126" t="s">
        <v>229</v>
      </c>
      <c r="E31" s="118"/>
      <c r="F31" s="118"/>
      <c r="G31" s="119"/>
    </row>
    <row r="32" spans="1:7" s="68" customFormat="1" ht="24">
      <c r="A32" s="118" t="s">
        <v>197</v>
      </c>
      <c r="B32" s="118"/>
      <c r="C32" s="118"/>
      <c r="D32" s="126" t="s">
        <v>90</v>
      </c>
      <c r="E32" s="118"/>
      <c r="F32" s="118"/>
      <c r="G32" s="119"/>
    </row>
    <row r="33" spans="4:7" s="68" customFormat="1" ht="24">
      <c r="D33" s="70"/>
      <c r="G33" s="69"/>
    </row>
    <row r="37" spans="1:8" s="1" customFormat="1" ht="24">
      <c r="A37" s="1" t="s">
        <v>100</v>
      </c>
      <c r="C37" s="2" t="s">
        <v>117</v>
      </c>
      <c r="D37" s="3"/>
      <c r="G37" s="3"/>
      <c r="H37" s="1">
        <v>2</v>
      </c>
    </row>
    <row r="38" spans="3:12" s="1" customFormat="1" ht="24">
      <c r="C38" s="2" t="s">
        <v>118</v>
      </c>
      <c r="D38" s="3"/>
      <c r="G38" s="3"/>
      <c r="I38" s="74" t="s">
        <v>208</v>
      </c>
      <c r="L38" s="74" t="s">
        <v>214</v>
      </c>
    </row>
    <row r="39" spans="1:7" s="1" customFormat="1" ht="24">
      <c r="A39" s="1" t="s">
        <v>80</v>
      </c>
      <c r="C39" s="2"/>
      <c r="D39" s="17" t="s">
        <v>119</v>
      </c>
      <c r="G39" s="3"/>
    </row>
    <row r="40" spans="1:9" s="1" customFormat="1" ht="24">
      <c r="A40" s="4"/>
      <c r="B40" s="4"/>
      <c r="C40" s="5"/>
      <c r="D40" s="65" t="s">
        <v>120</v>
      </c>
      <c r="E40" s="4"/>
      <c r="F40" s="4"/>
      <c r="G40" s="6"/>
      <c r="I40" s="1" t="s">
        <v>227</v>
      </c>
    </row>
    <row r="41" spans="1:7" s="1" customFormat="1" ht="24">
      <c r="A41" s="1" t="s">
        <v>219</v>
      </c>
      <c r="D41" s="3"/>
      <c r="F41" s="7"/>
      <c r="G41" s="3">
        <v>649284.46</v>
      </c>
    </row>
    <row r="42" spans="1:7" s="1" customFormat="1" ht="24">
      <c r="A42" s="8" t="s">
        <v>101</v>
      </c>
      <c r="D42" s="3"/>
      <c r="F42" s="2"/>
      <c r="G42" s="3"/>
    </row>
    <row r="43" spans="1:7" s="9" customFormat="1" ht="24">
      <c r="A43" s="9" t="s">
        <v>81</v>
      </c>
      <c r="B43" s="9" t="s">
        <v>82</v>
      </c>
      <c r="D43" s="10" t="s">
        <v>83</v>
      </c>
      <c r="F43" s="11"/>
      <c r="G43" s="10"/>
    </row>
    <row r="44" spans="1:7" ht="24">
      <c r="A44" s="12"/>
      <c r="B44" s="12"/>
      <c r="C44" s="13"/>
      <c r="D44" s="14"/>
      <c r="E44" s="13"/>
      <c r="F44" s="15"/>
      <c r="G44" s="14"/>
    </row>
    <row r="45" spans="1:7" ht="24">
      <c r="A45" s="12"/>
      <c r="B45" s="12"/>
      <c r="C45" s="13"/>
      <c r="D45" s="14"/>
      <c r="E45" s="13"/>
      <c r="F45" s="15"/>
      <c r="G45" s="14"/>
    </row>
    <row r="46" spans="1:7" ht="24">
      <c r="A46" s="12"/>
      <c r="B46" s="12"/>
      <c r="C46" s="13"/>
      <c r="D46" s="14"/>
      <c r="E46" s="13"/>
      <c r="F46" s="15"/>
      <c r="G46" s="14"/>
    </row>
    <row r="47" spans="1:7" ht="24">
      <c r="A47" s="12"/>
      <c r="B47" s="13"/>
      <c r="C47" s="13"/>
      <c r="D47" s="14"/>
      <c r="E47" s="13"/>
      <c r="F47" s="15"/>
      <c r="G47" s="14"/>
    </row>
    <row r="48" spans="1:7" ht="24">
      <c r="A48" s="12"/>
      <c r="B48" s="13"/>
      <c r="C48" s="13"/>
      <c r="D48" s="14"/>
      <c r="E48" s="13"/>
      <c r="F48" s="15"/>
      <c r="G48" s="14"/>
    </row>
    <row r="49" ht="24">
      <c r="F49" s="18"/>
    </row>
    <row r="50" spans="1:7" s="1" customFormat="1" ht="24">
      <c r="A50" s="8" t="s">
        <v>102</v>
      </c>
      <c r="D50" s="3"/>
      <c r="F50" s="2"/>
      <c r="G50" s="3"/>
    </row>
    <row r="51" spans="1:7" s="9" customFormat="1" ht="24">
      <c r="A51" s="9" t="s">
        <v>84</v>
      </c>
      <c r="B51" s="9" t="s">
        <v>85</v>
      </c>
      <c r="D51" s="10" t="s">
        <v>83</v>
      </c>
      <c r="F51" s="11"/>
      <c r="G51" s="10"/>
    </row>
    <row r="52" spans="1:7" ht="24">
      <c r="A52" s="121" t="s">
        <v>220</v>
      </c>
      <c r="B52" s="132" t="s">
        <v>222</v>
      </c>
      <c r="C52" s="116"/>
      <c r="D52" s="103">
        <v>200000</v>
      </c>
      <c r="E52" s="116"/>
      <c r="F52" s="117"/>
      <c r="G52" s="103">
        <v>200000</v>
      </c>
    </row>
    <row r="53" spans="1:7" ht="24">
      <c r="A53" s="12"/>
      <c r="B53" s="19"/>
      <c r="C53" s="13"/>
      <c r="D53" s="14"/>
      <c r="E53" s="13"/>
      <c r="F53" s="15"/>
      <c r="G53" s="14"/>
    </row>
    <row r="54" spans="1:7" ht="24">
      <c r="A54" s="12"/>
      <c r="B54" s="19"/>
      <c r="C54" s="13"/>
      <c r="D54" s="14"/>
      <c r="E54" s="13"/>
      <c r="F54" s="15"/>
      <c r="G54" s="14"/>
    </row>
    <row r="55" spans="1:7" ht="24">
      <c r="A55" s="12"/>
      <c r="B55" s="19"/>
      <c r="C55" s="13"/>
      <c r="D55" s="14"/>
      <c r="E55" s="13"/>
      <c r="F55" s="15"/>
      <c r="G55" s="14"/>
    </row>
    <row r="56" spans="1:7" ht="24">
      <c r="A56" s="12"/>
      <c r="B56" s="19"/>
      <c r="C56" s="13"/>
      <c r="D56" s="14"/>
      <c r="E56" s="13"/>
      <c r="F56" s="15"/>
      <c r="G56" s="14"/>
    </row>
    <row r="57" spans="1:7" ht="24">
      <c r="A57" s="12"/>
      <c r="B57" s="19"/>
      <c r="C57" s="13"/>
      <c r="D57" s="14"/>
      <c r="E57" s="13"/>
      <c r="F57" s="15"/>
      <c r="G57" s="14"/>
    </row>
    <row r="58" spans="1:7" s="1" customFormat="1" ht="24">
      <c r="A58" s="8" t="s">
        <v>103</v>
      </c>
      <c r="D58" s="3"/>
      <c r="F58" s="2"/>
      <c r="G58" s="3"/>
    </row>
    <row r="59" spans="1:7" s="1" customFormat="1" ht="24">
      <c r="A59" s="8" t="s">
        <v>86</v>
      </c>
      <c r="D59" s="3"/>
      <c r="F59" s="2"/>
      <c r="G59" s="3"/>
    </row>
    <row r="60" spans="1:7" ht="24">
      <c r="A60" s="13" t="s">
        <v>92</v>
      </c>
      <c r="B60" s="13"/>
      <c r="C60" s="13"/>
      <c r="D60" s="14"/>
      <c r="E60" s="13"/>
      <c r="F60" s="15"/>
      <c r="G60" s="14">
        <v>0</v>
      </c>
    </row>
    <row r="61" spans="1:7" ht="24">
      <c r="A61" s="13"/>
      <c r="B61" s="13"/>
      <c r="C61" s="13"/>
      <c r="D61" s="14"/>
      <c r="E61" s="13"/>
      <c r="F61" s="15"/>
      <c r="G61" s="14"/>
    </row>
    <row r="62" spans="1:7" ht="24">
      <c r="A62" s="13"/>
      <c r="B62" s="13"/>
      <c r="C62" s="13"/>
      <c r="D62" s="14"/>
      <c r="E62" s="13"/>
      <c r="F62" s="15"/>
      <c r="G62" s="14"/>
    </row>
    <row r="63" spans="1:7" s="1" customFormat="1" ht="24">
      <c r="A63" s="1" t="s">
        <v>231</v>
      </c>
      <c r="D63" s="3"/>
      <c r="F63" s="5"/>
      <c r="G63" s="3">
        <f>SUM(G41-G52+G60)</f>
        <v>449284.45999999996</v>
      </c>
    </row>
    <row r="64" spans="1:7" ht="24">
      <c r="A64" s="20" t="s">
        <v>87</v>
      </c>
      <c r="B64" s="20"/>
      <c r="C64" s="20"/>
      <c r="D64" s="21" t="s">
        <v>88</v>
      </c>
      <c r="E64" s="20"/>
      <c r="F64" s="20"/>
      <c r="G64" s="22"/>
    </row>
    <row r="65" ht="24">
      <c r="D65" s="23"/>
    </row>
    <row r="66" ht="24">
      <c r="D66" s="23"/>
    </row>
    <row r="67" spans="1:4" ht="24">
      <c r="A67" s="16" t="s">
        <v>232</v>
      </c>
      <c r="D67" s="23" t="s">
        <v>233</v>
      </c>
    </row>
    <row r="68" spans="1:4" ht="24">
      <c r="A68" s="16" t="s">
        <v>197</v>
      </c>
      <c r="D68" s="23" t="s">
        <v>90</v>
      </c>
    </row>
    <row r="69" ht="24">
      <c r="D69" s="23"/>
    </row>
    <row r="70" spans="4:7" s="61" customFormat="1" ht="24">
      <c r="D70" s="60"/>
      <c r="G70" s="60"/>
    </row>
    <row r="71" spans="4:7" s="61" customFormat="1" ht="24">
      <c r="D71" s="60"/>
      <c r="G71" s="60"/>
    </row>
    <row r="72" spans="4:7" s="61" customFormat="1" ht="24">
      <c r="D72" s="60"/>
      <c r="G72" s="60"/>
    </row>
    <row r="73" spans="1:8" s="1" customFormat="1" ht="24">
      <c r="A73" s="1" t="s">
        <v>100</v>
      </c>
      <c r="C73" s="2" t="s">
        <v>117</v>
      </c>
      <c r="D73" s="3"/>
      <c r="G73" s="3"/>
      <c r="H73" s="1">
        <v>3</v>
      </c>
    </row>
    <row r="74" spans="3:7" s="1" customFormat="1" ht="24">
      <c r="C74" s="2" t="s">
        <v>194</v>
      </c>
      <c r="D74" s="3"/>
      <c r="G74" s="3"/>
    </row>
    <row r="75" spans="1:7" s="1" customFormat="1" ht="24">
      <c r="A75" s="1" t="s">
        <v>80</v>
      </c>
      <c r="C75" s="2"/>
      <c r="D75" s="3"/>
      <c r="G75" s="3"/>
    </row>
    <row r="76" spans="1:7" s="1" customFormat="1" ht="24">
      <c r="A76" s="4"/>
      <c r="B76" s="4"/>
      <c r="C76" s="5"/>
      <c r="D76" s="6"/>
      <c r="E76" s="4"/>
      <c r="F76" s="4"/>
      <c r="G76" s="6"/>
    </row>
    <row r="77" spans="1:7" s="1" customFormat="1" ht="24">
      <c r="A77" s="1" t="s">
        <v>199</v>
      </c>
      <c r="D77" s="3"/>
      <c r="F77" s="7"/>
      <c r="G77" s="3">
        <v>13198477.93</v>
      </c>
    </row>
    <row r="78" spans="1:7" s="1" customFormat="1" ht="24">
      <c r="A78" s="8" t="s">
        <v>101</v>
      </c>
      <c r="D78" s="3"/>
      <c r="F78" s="2"/>
      <c r="G78" s="3"/>
    </row>
    <row r="79" spans="1:7" s="9" customFormat="1" ht="24">
      <c r="A79" s="9" t="s">
        <v>81</v>
      </c>
      <c r="B79" s="9" t="s">
        <v>82</v>
      </c>
      <c r="D79" s="10" t="s">
        <v>83</v>
      </c>
      <c r="F79" s="11"/>
      <c r="G79" s="10"/>
    </row>
    <row r="80" spans="1:7" ht="24">
      <c r="A80" s="12"/>
      <c r="B80" s="12"/>
      <c r="C80" s="13"/>
      <c r="D80" s="14"/>
      <c r="E80" s="13"/>
      <c r="F80" s="15"/>
      <c r="G80" s="14"/>
    </row>
    <row r="81" spans="1:7" ht="24">
      <c r="A81" s="12"/>
      <c r="B81" s="13"/>
      <c r="C81" s="13"/>
      <c r="D81" s="14"/>
      <c r="E81" s="13"/>
      <c r="F81" s="15"/>
      <c r="G81" s="14"/>
    </row>
    <row r="82" ht="24">
      <c r="F82" s="18"/>
    </row>
    <row r="83" spans="1:7" s="1" customFormat="1" ht="24">
      <c r="A83" s="8" t="s">
        <v>102</v>
      </c>
      <c r="D83" s="3"/>
      <c r="F83" s="2"/>
      <c r="G83" s="3"/>
    </row>
    <row r="84" spans="1:7" s="9" customFormat="1" ht="24">
      <c r="A84" s="9" t="s">
        <v>84</v>
      </c>
      <c r="B84" s="72" t="s">
        <v>85</v>
      </c>
      <c r="C84" s="72"/>
      <c r="D84" s="73" t="s">
        <v>83</v>
      </c>
      <c r="E84" s="99"/>
      <c r="F84" s="11"/>
      <c r="G84" s="10"/>
    </row>
    <row r="85" spans="1:7" ht="24">
      <c r="A85" s="19" t="s">
        <v>200</v>
      </c>
      <c r="B85" s="71">
        <v>8476821</v>
      </c>
      <c r="C85" s="13"/>
      <c r="D85" s="14">
        <v>15470.47</v>
      </c>
      <c r="F85" s="15"/>
      <c r="G85" s="14">
        <v>15470.47</v>
      </c>
    </row>
    <row r="86" spans="1:7" ht="24">
      <c r="A86" s="19"/>
      <c r="B86" s="71"/>
      <c r="C86" s="13"/>
      <c r="D86" s="14"/>
      <c r="E86" s="13"/>
      <c r="F86" s="15"/>
      <c r="G86" s="14"/>
    </row>
    <row r="87" spans="1:7" ht="24">
      <c r="A87" s="19"/>
      <c r="B87" s="71"/>
      <c r="C87" s="13"/>
      <c r="D87" s="14"/>
      <c r="E87" s="13"/>
      <c r="F87" s="15"/>
      <c r="G87" s="14"/>
    </row>
    <row r="88" spans="1:7" ht="24">
      <c r="A88" s="19"/>
      <c r="B88" s="71"/>
      <c r="C88" s="13"/>
      <c r="D88" s="14"/>
      <c r="E88" s="13"/>
      <c r="F88" s="15"/>
      <c r="G88" s="14"/>
    </row>
    <row r="89" spans="1:7" ht="24">
      <c r="A89" s="19"/>
      <c r="B89" s="71"/>
      <c r="C89" s="13"/>
      <c r="D89" s="14"/>
      <c r="E89" s="13"/>
      <c r="F89" s="15"/>
      <c r="G89" s="14"/>
    </row>
    <row r="90" spans="1:7" ht="24">
      <c r="A90" s="19"/>
      <c r="B90" s="19"/>
      <c r="C90" s="13"/>
      <c r="D90" s="14"/>
      <c r="E90" s="13"/>
      <c r="F90" s="15"/>
      <c r="G90" s="14"/>
    </row>
    <row r="91" spans="1:7" ht="24">
      <c r="A91" s="19"/>
      <c r="B91" s="19" t="s">
        <v>97</v>
      </c>
      <c r="C91" s="13"/>
      <c r="D91" s="14" t="s">
        <v>97</v>
      </c>
      <c r="E91" s="13"/>
      <c r="F91" s="15"/>
      <c r="G91" s="14"/>
    </row>
    <row r="92" spans="1:7" ht="24">
      <c r="A92" s="12" t="s">
        <v>97</v>
      </c>
      <c r="B92" s="19" t="s">
        <v>97</v>
      </c>
      <c r="C92" s="13"/>
      <c r="D92" s="14" t="s">
        <v>97</v>
      </c>
      <c r="E92" s="13"/>
      <c r="F92" s="15"/>
      <c r="G92" s="14"/>
    </row>
    <row r="93" spans="1:6" ht="24">
      <c r="A93" s="98"/>
      <c r="B93" s="71"/>
      <c r="F93" s="18"/>
    </row>
    <row r="94" spans="1:6" ht="24">
      <c r="A94" s="98"/>
      <c r="B94" s="71"/>
      <c r="F94" s="18"/>
    </row>
    <row r="95" spans="1:7" s="1" customFormat="1" ht="24">
      <c r="A95" s="8" t="s">
        <v>103</v>
      </c>
      <c r="D95" s="3"/>
      <c r="F95" s="2"/>
      <c r="G95" s="3"/>
    </row>
    <row r="96" spans="1:7" s="1" customFormat="1" ht="24">
      <c r="A96" s="8" t="s">
        <v>86</v>
      </c>
      <c r="D96" s="3"/>
      <c r="F96" s="2"/>
      <c r="G96" s="3"/>
    </row>
    <row r="97" spans="1:7" ht="24">
      <c r="A97" s="13"/>
      <c r="B97" s="13"/>
      <c r="C97" s="13"/>
      <c r="D97" s="14"/>
      <c r="E97" s="13"/>
      <c r="F97" s="15"/>
      <c r="G97" s="14"/>
    </row>
    <row r="98" spans="1:7" ht="24">
      <c r="A98" s="13"/>
      <c r="B98" s="13"/>
      <c r="C98" s="13"/>
      <c r="D98" s="14"/>
      <c r="E98" s="13"/>
      <c r="F98" s="15"/>
      <c r="G98" s="14"/>
    </row>
    <row r="99" spans="1:7" ht="24">
      <c r="A99" s="13"/>
      <c r="B99" s="13"/>
      <c r="C99" s="13"/>
      <c r="D99" s="14"/>
      <c r="E99" s="13"/>
      <c r="F99" s="15"/>
      <c r="G99" s="14"/>
    </row>
    <row r="100" spans="1:7" s="1" customFormat="1" ht="24">
      <c r="A100" s="1" t="s">
        <v>201</v>
      </c>
      <c r="D100" s="3"/>
      <c r="F100" s="5"/>
      <c r="G100" s="3">
        <f>SUM(G77-G85)</f>
        <v>13183007.459999999</v>
      </c>
    </row>
    <row r="101" spans="1:7" ht="24">
      <c r="A101" s="20" t="s">
        <v>87</v>
      </c>
      <c r="B101" s="20"/>
      <c r="C101" s="20"/>
      <c r="D101" s="21" t="s">
        <v>88</v>
      </c>
      <c r="E101" s="20"/>
      <c r="F101" s="20"/>
      <c r="G101" s="22"/>
    </row>
    <row r="102" ht="24">
      <c r="D102" s="23"/>
    </row>
    <row r="103" spans="1:4" ht="24">
      <c r="A103" s="16" t="s">
        <v>202</v>
      </c>
      <c r="D103" s="23" t="s">
        <v>203</v>
      </c>
    </row>
    <row r="104" spans="1:4" ht="24">
      <c r="A104" s="16" t="s">
        <v>197</v>
      </c>
      <c r="D104" s="23" t="s">
        <v>90</v>
      </c>
    </row>
    <row r="105" ht="24">
      <c r="D105" s="23"/>
    </row>
    <row r="109" spans="1:8" s="1" customFormat="1" ht="24">
      <c r="A109" s="1" t="s">
        <v>100</v>
      </c>
      <c r="C109" s="2" t="s">
        <v>141</v>
      </c>
      <c r="D109" s="3"/>
      <c r="G109" s="3"/>
      <c r="H109" s="1">
        <v>4</v>
      </c>
    </row>
    <row r="110" spans="3:7" s="1" customFormat="1" ht="24">
      <c r="C110" s="2" t="s">
        <v>142</v>
      </c>
      <c r="D110" s="3"/>
      <c r="G110" s="3"/>
    </row>
    <row r="111" spans="1:7" s="1" customFormat="1" ht="24">
      <c r="A111" s="1" t="s">
        <v>80</v>
      </c>
      <c r="C111" s="2"/>
      <c r="D111" s="3"/>
      <c r="G111" s="3"/>
    </row>
    <row r="112" spans="1:7" s="1" customFormat="1" ht="24">
      <c r="A112" s="4"/>
      <c r="B112" s="4"/>
      <c r="C112" s="5"/>
      <c r="D112" s="6"/>
      <c r="E112" s="4"/>
      <c r="F112" s="4"/>
      <c r="G112" s="6"/>
    </row>
    <row r="113" spans="1:7" s="1" customFormat="1" ht="24">
      <c r="A113" s="1" t="s">
        <v>216</v>
      </c>
      <c r="D113" s="3"/>
      <c r="F113" s="7"/>
      <c r="G113" s="3">
        <v>11452551.93</v>
      </c>
    </row>
    <row r="114" spans="1:7" s="1" customFormat="1" ht="24">
      <c r="A114" s="8" t="s">
        <v>101</v>
      </c>
      <c r="D114" s="3"/>
      <c r="F114" s="2"/>
      <c r="G114" s="3"/>
    </row>
    <row r="115" spans="1:7" s="9" customFormat="1" ht="24">
      <c r="A115" s="9" t="s">
        <v>81</v>
      </c>
      <c r="B115" s="9" t="s">
        <v>82</v>
      </c>
      <c r="D115" s="10" t="s">
        <v>83</v>
      </c>
      <c r="F115" s="11"/>
      <c r="G115" s="10"/>
    </row>
    <row r="116" spans="1:7" ht="24">
      <c r="A116" s="12"/>
      <c r="B116" s="12"/>
      <c r="C116" s="13"/>
      <c r="D116" s="14"/>
      <c r="E116" s="13"/>
      <c r="F116" s="15"/>
      <c r="G116" s="14"/>
    </row>
    <row r="117" spans="1:7" ht="24">
      <c r="A117" s="12"/>
      <c r="B117" s="12"/>
      <c r="C117" s="13"/>
      <c r="D117" s="14"/>
      <c r="E117" s="13"/>
      <c r="F117" s="15"/>
      <c r="G117" s="14"/>
    </row>
    <row r="118" spans="1:7" ht="24">
      <c r="A118" s="12"/>
      <c r="B118" s="12"/>
      <c r="C118" s="13"/>
      <c r="D118" s="14"/>
      <c r="E118" s="13"/>
      <c r="F118" s="15"/>
      <c r="G118" s="14"/>
    </row>
    <row r="119" spans="1:7" ht="24">
      <c r="A119" s="12"/>
      <c r="B119" s="13"/>
      <c r="C119" s="13"/>
      <c r="D119" s="14"/>
      <c r="E119" s="13"/>
      <c r="F119" s="15"/>
      <c r="G119" s="14"/>
    </row>
    <row r="120" spans="1:7" ht="24">
      <c r="A120" s="12"/>
      <c r="B120" s="13"/>
      <c r="C120" s="13"/>
      <c r="D120" s="14"/>
      <c r="E120" s="13"/>
      <c r="F120" s="15"/>
      <c r="G120" s="14"/>
    </row>
    <row r="121" ht="24">
      <c r="F121" s="18"/>
    </row>
    <row r="122" spans="1:7" s="1" customFormat="1" ht="24">
      <c r="A122" s="8" t="s">
        <v>102</v>
      </c>
      <c r="D122" s="3"/>
      <c r="F122" s="2"/>
      <c r="G122" s="3"/>
    </row>
    <row r="123" spans="1:7" s="9" customFormat="1" ht="24">
      <c r="A123" s="72" t="s">
        <v>84</v>
      </c>
      <c r="B123" s="72" t="s">
        <v>85</v>
      </c>
      <c r="C123" s="72"/>
      <c r="D123" s="73" t="s">
        <v>83</v>
      </c>
      <c r="F123" s="11"/>
      <c r="G123" s="10"/>
    </row>
    <row r="124" spans="1:7" ht="24">
      <c r="A124" s="131"/>
      <c r="B124" s="98"/>
      <c r="C124" s="13"/>
      <c r="D124" s="129"/>
      <c r="E124" s="13"/>
      <c r="F124" s="15"/>
      <c r="G124" s="130"/>
    </row>
    <row r="125" spans="1:7" ht="24">
      <c r="A125" s="19"/>
      <c r="B125" s="98"/>
      <c r="C125" s="13"/>
      <c r="D125" s="14"/>
      <c r="E125" s="13"/>
      <c r="F125" s="15"/>
      <c r="G125" s="14" t="s">
        <v>97</v>
      </c>
    </row>
    <row r="126" spans="1:7" ht="24">
      <c r="A126" s="19" t="s">
        <v>97</v>
      </c>
      <c r="B126" s="98"/>
      <c r="C126" s="13"/>
      <c r="D126" s="14"/>
      <c r="E126" s="13"/>
      <c r="F126" s="15"/>
      <c r="G126" s="14"/>
    </row>
    <row r="127" spans="1:7" ht="24">
      <c r="A127" s="19"/>
      <c r="B127" s="98"/>
      <c r="C127" s="13"/>
      <c r="D127" s="14"/>
      <c r="E127" s="13"/>
      <c r="F127" s="15"/>
      <c r="G127" s="14"/>
    </row>
    <row r="128" spans="1:7" ht="24">
      <c r="A128" s="19"/>
      <c r="B128" s="98"/>
      <c r="C128" s="13"/>
      <c r="D128" s="14"/>
      <c r="E128" s="13"/>
      <c r="F128" s="15"/>
      <c r="G128" s="14"/>
    </row>
    <row r="129" spans="1:7" ht="24">
      <c r="A129" s="12"/>
      <c r="B129" s="19"/>
      <c r="C129" s="13"/>
      <c r="D129" s="14"/>
      <c r="E129" s="13"/>
      <c r="F129" s="15"/>
      <c r="G129" s="14"/>
    </row>
    <row r="130" spans="1:7" ht="24">
      <c r="A130" s="12"/>
      <c r="B130" s="19"/>
      <c r="C130" s="13"/>
      <c r="D130" s="14"/>
      <c r="E130" s="13"/>
      <c r="F130" s="15"/>
      <c r="G130" s="14"/>
    </row>
    <row r="131" spans="1:7" s="1" customFormat="1" ht="24">
      <c r="A131" s="8" t="s">
        <v>103</v>
      </c>
      <c r="D131" s="3"/>
      <c r="F131" s="2"/>
      <c r="G131" s="3"/>
    </row>
    <row r="132" spans="1:7" s="1" customFormat="1" ht="24">
      <c r="A132" s="8" t="s">
        <v>86</v>
      </c>
      <c r="D132" s="3"/>
      <c r="F132" s="2"/>
      <c r="G132" s="3"/>
    </row>
    <row r="133" spans="1:7" ht="24">
      <c r="A133" s="13"/>
      <c r="B133" s="13"/>
      <c r="C133" s="13"/>
      <c r="D133" s="14">
        <v>0</v>
      </c>
      <c r="E133" s="13"/>
      <c r="F133" s="15"/>
      <c r="G133" s="14"/>
    </row>
    <row r="134" spans="1:7" ht="24">
      <c r="A134" s="13"/>
      <c r="B134" s="13"/>
      <c r="C134" s="13"/>
      <c r="D134" s="14"/>
      <c r="E134" s="13"/>
      <c r="F134" s="15"/>
      <c r="G134" s="14"/>
    </row>
    <row r="135" spans="1:7" s="1" customFormat="1" ht="24">
      <c r="A135" s="1" t="s">
        <v>217</v>
      </c>
      <c r="D135" s="3"/>
      <c r="F135" s="5"/>
      <c r="G135" s="3">
        <f>SUM(G113-G124)</f>
        <v>11452551.93</v>
      </c>
    </row>
    <row r="136" spans="1:7" ht="24">
      <c r="A136" s="20" t="s">
        <v>87</v>
      </c>
      <c r="B136" s="20"/>
      <c r="C136" s="20"/>
      <c r="D136" s="21" t="s">
        <v>88</v>
      </c>
      <c r="E136" s="20"/>
      <c r="F136" s="20"/>
      <c r="G136" s="22"/>
    </row>
    <row r="137" ht="24">
      <c r="D137" s="23"/>
    </row>
    <row r="138" ht="24">
      <c r="D138" s="23"/>
    </row>
    <row r="139" spans="1:4" ht="24">
      <c r="A139" s="16" t="s">
        <v>218</v>
      </c>
      <c r="D139" s="23" t="s">
        <v>218</v>
      </c>
    </row>
    <row r="140" spans="1:4" ht="24">
      <c r="A140" s="16" t="s">
        <v>197</v>
      </c>
      <c r="D140" s="23" t="s">
        <v>90</v>
      </c>
    </row>
    <row r="141" ht="24">
      <c r="D141" s="23"/>
    </row>
    <row r="145" spans="1:8" s="74" customFormat="1" ht="24">
      <c r="A145" s="74" t="s">
        <v>100</v>
      </c>
      <c r="C145" s="75" t="s">
        <v>117</v>
      </c>
      <c r="D145" s="76"/>
      <c r="G145" s="76"/>
      <c r="H145" s="74">
        <v>5</v>
      </c>
    </row>
    <row r="146" spans="3:7" s="74" customFormat="1" ht="24">
      <c r="C146" s="75" t="s">
        <v>121</v>
      </c>
      <c r="D146" s="76"/>
      <c r="G146" s="76"/>
    </row>
    <row r="147" spans="1:7" s="74" customFormat="1" ht="24">
      <c r="A147" s="74" t="s">
        <v>80</v>
      </c>
      <c r="C147" s="75"/>
      <c r="D147" s="76"/>
      <c r="G147" s="76"/>
    </row>
    <row r="148" spans="1:9" s="74" customFormat="1" ht="24">
      <c r="A148" s="77"/>
      <c r="B148" s="77"/>
      <c r="C148" s="78"/>
      <c r="D148" s="79"/>
      <c r="E148" s="77"/>
      <c r="F148" s="77"/>
      <c r="G148" s="79"/>
      <c r="I148" s="74" t="s">
        <v>157</v>
      </c>
    </row>
    <row r="149" spans="1:7" s="74" customFormat="1" ht="24">
      <c r="A149" s="74" t="s">
        <v>158</v>
      </c>
      <c r="D149" s="76"/>
      <c r="F149" s="80"/>
      <c r="G149" s="76">
        <v>12976252.07</v>
      </c>
    </row>
    <row r="150" spans="1:7" s="74" customFormat="1" ht="24">
      <c r="A150" s="81" t="s">
        <v>180</v>
      </c>
      <c r="D150" s="76"/>
      <c r="F150" s="75"/>
      <c r="G150" s="76"/>
    </row>
    <row r="151" spans="1:7" s="82" customFormat="1" ht="24">
      <c r="A151" s="82" t="s">
        <v>81</v>
      </c>
      <c r="B151" s="82" t="s">
        <v>82</v>
      </c>
      <c r="D151" s="83" t="s">
        <v>83</v>
      </c>
      <c r="F151" s="84"/>
      <c r="G151" s="83"/>
    </row>
    <row r="152" spans="1:7" s="61" customFormat="1" ht="24">
      <c r="A152" s="85"/>
      <c r="B152" s="85"/>
      <c r="C152" s="86"/>
      <c r="D152" s="87"/>
      <c r="E152" s="86"/>
      <c r="F152" s="88"/>
      <c r="G152" s="87"/>
    </row>
    <row r="153" spans="1:7" s="61" customFormat="1" ht="24">
      <c r="A153" s="85"/>
      <c r="B153" s="85"/>
      <c r="C153" s="86"/>
      <c r="D153" s="87"/>
      <c r="E153" s="86"/>
      <c r="F153" s="88"/>
      <c r="G153" s="87"/>
    </row>
    <row r="154" spans="1:7" s="61" customFormat="1" ht="24">
      <c r="A154" s="85"/>
      <c r="B154" s="85"/>
      <c r="C154" s="86"/>
      <c r="D154" s="87"/>
      <c r="E154" s="86"/>
      <c r="F154" s="88"/>
      <c r="G154" s="87"/>
    </row>
    <row r="155" spans="1:7" s="61" customFormat="1" ht="24">
      <c r="A155" s="85"/>
      <c r="B155" s="86"/>
      <c r="C155" s="86"/>
      <c r="D155" s="87"/>
      <c r="E155" s="86"/>
      <c r="F155" s="88"/>
      <c r="G155" s="87"/>
    </row>
    <row r="156" spans="1:7" s="61" customFormat="1" ht="24">
      <c r="A156" s="85"/>
      <c r="B156" s="86"/>
      <c r="C156" s="86"/>
      <c r="D156" s="87"/>
      <c r="E156" s="86"/>
      <c r="F156" s="88"/>
      <c r="G156" s="87"/>
    </row>
    <row r="157" spans="4:7" s="61" customFormat="1" ht="24">
      <c r="D157" s="60"/>
      <c r="F157" s="89"/>
      <c r="G157" s="60"/>
    </row>
    <row r="158" spans="1:7" s="74" customFormat="1" ht="24">
      <c r="A158" s="81" t="s">
        <v>181</v>
      </c>
      <c r="D158" s="76"/>
      <c r="F158" s="75"/>
      <c r="G158" s="76"/>
    </row>
    <row r="159" spans="1:7" s="82" customFormat="1" ht="24">
      <c r="A159" s="82" t="s">
        <v>84</v>
      </c>
      <c r="B159" s="82" t="s">
        <v>85</v>
      </c>
      <c r="D159" s="83" t="s">
        <v>83</v>
      </c>
      <c r="F159" s="84"/>
      <c r="G159" s="83"/>
    </row>
    <row r="160" spans="1:7" s="61" customFormat="1" ht="24">
      <c r="A160" s="85"/>
      <c r="B160" s="90"/>
      <c r="C160" s="86"/>
      <c r="D160" s="87"/>
      <c r="E160" s="86"/>
      <c r="F160" s="88"/>
      <c r="G160" s="87">
        <f>SUM(D160:D166)</f>
        <v>265709.87</v>
      </c>
    </row>
    <row r="161" spans="1:7" s="61" customFormat="1" ht="24">
      <c r="A161" s="85" t="s">
        <v>175</v>
      </c>
      <c r="B161" s="90"/>
      <c r="C161" s="86"/>
      <c r="D161" s="87">
        <v>265709.87</v>
      </c>
      <c r="E161" s="86"/>
      <c r="F161" s="88"/>
      <c r="G161" s="87"/>
    </row>
    <row r="162" spans="1:7" s="61" customFormat="1" ht="24">
      <c r="A162" s="85"/>
      <c r="B162" s="90"/>
      <c r="C162" s="86"/>
      <c r="D162" s="87"/>
      <c r="E162" s="86"/>
      <c r="F162" s="88"/>
      <c r="G162" s="87"/>
    </row>
    <row r="163" spans="1:7" s="61" customFormat="1" ht="24">
      <c r="A163" s="85" t="s">
        <v>97</v>
      </c>
      <c r="B163" s="90" t="s">
        <v>97</v>
      </c>
      <c r="C163" s="86" t="s">
        <v>97</v>
      </c>
      <c r="D163" s="87" t="s">
        <v>97</v>
      </c>
      <c r="E163" s="86"/>
      <c r="F163" s="88"/>
      <c r="G163" s="87"/>
    </row>
    <row r="164" spans="1:7" s="61" customFormat="1" ht="24">
      <c r="A164" s="85"/>
      <c r="B164" s="90"/>
      <c r="C164" s="86"/>
      <c r="D164" s="87"/>
      <c r="E164" s="86"/>
      <c r="F164" s="88"/>
      <c r="G164" s="87"/>
    </row>
    <row r="165" spans="1:7" s="61" customFormat="1" ht="24">
      <c r="A165" s="85"/>
      <c r="B165" s="90"/>
      <c r="C165" s="86"/>
      <c r="D165" s="87"/>
      <c r="E165" s="86"/>
      <c r="F165" s="88"/>
      <c r="G165" s="87"/>
    </row>
    <row r="166" spans="1:7" s="61" customFormat="1" ht="24">
      <c r="A166" s="85"/>
      <c r="B166" s="90"/>
      <c r="C166" s="86"/>
      <c r="D166" s="87"/>
      <c r="E166" s="86"/>
      <c r="F166" s="88"/>
      <c r="G166" s="87"/>
    </row>
    <row r="167" spans="1:7" s="74" customFormat="1" ht="24">
      <c r="A167" s="81" t="s">
        <v>182</v>
      </c>
      <c r="D167" s="76"/>
      <c r="F167" s="75"/>
      <c r="G167" s="76"/>
    </row>
    <row r="168" spans="1:7" s="74" customFormat="1" ht="24">
      <c r="A168" s="81" t="s">
        <v>86</v>
      </c>
      <c r="D168" s="76"/>
      <c r="F168" s="75"/>
      <c r="G168" s="76"/>
    </row>
    <row r="169" spans="1:7" s="61" customFormat="1" ht="24">
      <c r="A169" s="86"/>
      <c r="B169" s="86"/>
      <c r="C169" s="86"/>
      <c r="D169" s="87"/>
      <c r="E169" s="86"/>
      <c r="F169" s="88"/>
      <c r="G169" s="87"/>
    </row>
    <row r="170" spans="1:7" s="61" customFormat="1" ht="24">
      <c r="A170" s="86" t="s">
        <v>97</v>
      </c>
      <c r="B170" s="86"/>
      <c r="C170" s="86"/>
      <c r="D170" s="87" t="s">
        <v>97</v>
      </c>
      <c r="E170" s="86"/>
      <c r="F170" s="88"/>
      <c r="G170" s="87" t="s">
        <v>97</v>
      </c>
    </row>
    <row r="171" spans="1:7" s="61" customFormat="1" ht="24">
      <c r="A171" s="86"/>
      <c r="B171" s="86"/>
      <c r="C171" s="86"/>
      <c r="D171" s="87"/>
      <c r="E171" s="86"/>
      <c r="F171" s="88"/>
      <c r="G171" s="87"/>
    </row>
    <row r="172" spans="1:7" s="74" customFormat="1" ht="24">
      <c r="A172" s="74" t="s">
        <v>164</v>
      </c>
      <c r="D172" s="76"/>
      <c r="F172" s="78"/>
      <c r="G172" s="76">
        <f>SUM(G149-G160)</f>
        <v>12710542.200000001</v>
      </c>
    </row>
    <row r="173" spans="1:7" s="61" customFormat="1" ht="24">
      <c r="A173" s="91" t="s">
        <v>87</v>
      </c>
      <c r="B173" s="91"/>
      <c r="C173" s="91"/>
      <c r="D173" s="92" t="s">
        <v>88</v>
      </c>
      <c r="E173" s="91"/>
      <c r="F173" s="91"/>
      <c r="G173" s="93"/>
    </row>
    <row r="174" spans="4:7" s="61" customFormat="1" ht="24">
      <c r="D174" s="94"/>
      <c r="G174" s="60"/>
    </row>
    <row r="175" spans="1:7" s="61" customFormat="1" ht="24">
      <c r="A175" s="61" t="s">
        <v>165</v>
      </c>
      <c r="D175" s="94" t="s">
        <v>165</v>
      </c>
      <c r="G175" s="60"/>
    </row>
    <row r="176" spans="1:7" s="61" customFormat="1" ht="24">
      <c r="A176" s="61" t="s">
        <v>89</v>
      </c>
      <c r="D176" s="94" t="s">
        <v>90</v>
      </c>
      <c r="G176" s="60"/>
    </row>
    <row r="177" spans="4:7" s="61" customFormat="1" ht="24">
      <c r="D177" s="94"/>
      <c r="G177" s="60"/>
    </row>
    <row r="178" spans="4:7" s="61" customFormat="1" ht="24">
      <c r="D178" s="60"/>
      <c r="G178" s="60"/>
    </row>
    <row r="179" spans="4:7" s="61" customFormat="1" ht="24">
      <c r="D179" s="60"/>
      <c r="G179" s="60"/>
    </row>
    <row r="180" spans="4:7" s="61" customFormat="1" ht="24">
      <c r="D180" s="60"/>
      <c r="G180" s="60"/>
    </row>
    <row r="181" spans="1:8" s="74" customFormat="1" ht="24">
      <c r="A181" s="104" t="s">
        <v>100</v>
      </c>
      <c r="B181" s="104"/>
      <c r="C181" s="105" t="s">
        <v>141</v>
      </c>
      <c r="D181" s="106"/>
      <c r="E181" s="104"/>
      <c r="F181" s="104"/>
      <c r="G181" s="106"/>
      <c r="H181" s="74">
        <v>6</v>
      </c>
    </row>
    <row r="182" spans="1:10" s="74" customFormat="1" ht="24">
      <c r="A182" s="104"/>
      <c r="B182" s="104"/>
      <c r="C182" s="105" t="s">
        <v>142</v>
      </c>
      <c r="D182" s="106"/>
      <c r="E182" s="104"/>
      <c r="F182" s="104"/>
      <c r="G182" s="106"/>
      <c r="J182" s="74" t="s">
        <v>208</v>
      </c>
    </row>
    <row r="183" spans="1:7" s="74" customFormat="1" ht="24">
      <c r="A183" s="104" t="s">
        <v>80</v>
      </c>
      <c r="B183" s="104"/>
      <c r="C183" s="105"/>
      <c r="D183" s="106"/>
      <c r="E183" s="104"/>
      <c r="F183" s="104"/>
      <c r="G183" s="106"/>
    </row>
    <row r="184" spans="1:7" s="74" customFormat="1" ht="24">
      <c r="A184" s="107"/>
      <c r="B184" s="107"/>
      <c r="C184" s="108"/>
      <c r="D184" s="109"/>
      <c r="E184" s="107"/>
      <c r="F184" s="107"/>
      <c r="G184" s="109"/>
    </row>
    <row r="185" spans="1:7" s="74" customFormat="1" ht="24">
      <c r="A185" s="104" t="s">
        <v>204</v>
      </c>
      <c r="B185" s="104"/>
      <c r="C185" s="104"/>
      <c r="D185" s="106"/>
      <c r="E185" s="104"/>
      <c r="F185" s="110"/>
      <c r="G185" s="106">
        <v>4659135.62</v>
      </c>
    </row>
    <row r="186" spans="1:7" s="74" customFormat="1" ht="24">
      <c r="A186" s="111" t="s">
        <v>211</v>
      </c>
      <c r="B186" s="104"/>
      <c r="C186" s="104"/>
      <c r="D186" s="106"/>
      <c r="E186" s="104"/>
      <c r="F186" s="105"/>
      <c r="G186" s="106"/>
    </row>
    <row r="187" spans="1:7" s="82" customFormat="1" ht="24">
      <c r="A187" s="112" t="s">
        <v>81</v>
      </c>
      <c r="B187" s="112" t="s">
        <v>82</v>
      </c>
      <c r="C187" s="112"/>
      <c r="D187" s="113" t="s">
        <v>83</v>
      </c>
      <c r="E187" s="112"/>
      <c r="F187" s="114"/>
      <c r="G187" s="113"/>
    </row>
    <row r="188" spans="1:7" s="61" customFormat="1" ht="24">
      <c r="A188" s="115"/>
      <c r="B188" s="115"/>
      <c r="C188" s="116"/>
      <c r="D188" s="103"/>
      <c r="E188" s="116"/>
      <c r="F188" s="117"/>
      <c r="G188" s="103"/>
    </row>
    <row r="189" spans="1:7" s="61" customFormat="1" ht="24">
      <c r="A189" s="115"/>
      <c r="B189" s="115"/>
      <c r="C189" s="116"/>
      <c r="D189" s="103"/>
      <c r="E189" s="116"/>
      <c r="F189" s="117"/>
      <c r="G189" s="103"/>
    </row>
    <row r="190" spans="1:7" s="61" customFormat="1" ht="24">
      <c r="A190" s="115"/>
      <c r="B190" s="115"/>
      <c r="C190" s="116"/>
      <c r="D190" s="103"/>
      <c r="E190" s="116"/>
      <c r="F190" s="117"/>
      <c r="G190" s="103"/>
    </row>
    <row r="191" spans="1:7" s="61" customFormat="1" ht="24">
      <c r="A191" s="115"/>
      <c r="B191" s="116"/>
      <c r="C191" s="116"/>
      <c r="D191" s="103"/>
      <c r="E191" s="116"/>
      <c r="F191" s="117"/>
      <c r="G191" s="103"/>
    </row>
    <row r="192" spans="1:7" s="61" customFormat="1" ht="24">
      <c r="A192" s="115"/>
      <c r="B192" s="116"/>
      <c r="C192" s="116"/>
      <c r="D192" s="103"/>
      <c r="E192" s="116"/>
      <c r="F192" s="117"/>
      <c r="G192" s="103"/>
    </row>
    <row r="193" spans="1:7" s="61" customFormat="1" ht="24">
      <c r="A193" s="118"/>
      <c r="B193" s="118"/>
      <c r="C193" s="118"/>
      <c r="D193" s="119"/>
      <c r="E193" s="118"/>
      <c r="F193" s="120"/>
      <c r="G193" s="119"/>
    </row>
    <row r="194" spans="1:7" s="74" customFormat="1" ht="24">
      <c r="A194" s="111" t="s">
        <v>212</v>
      </c>
      <c r="B194" s="104"/>
      <c r="C194" s="104"/>
      <c r="D194" s="106"/>
      <c r="E194" s="104"/>
      <c r="F194" s="105"/>
      <c r="G194" s="106"/>
    </row>
    <row r="195" spans="1:7" s="82" customFormat="1" ht="24">
      <c r="A195" s="127" t="s">
        <v>84</v>
      </c>
      <c r="B195" s="127" t="s">
        <v>85</v>
      </c>
      <c r="C195" s="127"/>
      <c r="D195" s="128" t="s">
        <v>83</v>
      </c>
      <c r="E195" s="112"/>
      <c r="F195" s="114"/>
      <c r="G195" s="113"/>
    </row>
    <row r="196" spans="1:7" s="61" customFormat="1" ht="24">
      <c r="A196" s="122" t="s">
        <v>97</v>
      </c>
      <c r="B196" s="122" t="s">
        <v>97</v>
      </c>
      <c r="C196" s="118"/>
      <c r="D196" s="119" t="s">
        <v>97</v>
      </c>
      <c r="E196" s="116"/>
      <c r="F196" s="117"/>
      <c r="G196" s="103">
        <f>SUM(D196:D197)</f>
        <v>0</v>
      </c>
    </row>
    <row r="197" spans="1:7" s="61" customFormat="1" ht="24">
      <c r="A197" s="115" t="s">
        <v>97</v>
      </c>
      <c r="B197" s="115" t="s">
        <v>97</v>
      </c>
      <c r="C197" s="116"/>
      <c r="D197" s="103" t="s">
        <v>97</v>
      </c>
      <c r="E197" s="116"/>
      <c r="F197" s="117"/>
      <c r="G197" s="103" t="s">
        <v>97</v>
      </c>
    </row>
    <row r="198" spans="1:7" s="61" customFormat="1" ht="24">
      <c r="A198" s="115"/>
      <c r="B198" s="121"/>
      <c r="C198" s="116"/>
      <c r="D198" s="103"/>
      <c r="E198" s="116"/>
      <c r="F198" s="117"/>
      <c r="G198" s="103"/>
    </row>
    <row r="199" spans="1:7" s="61" customFormat="1" ht="24">
      <c r="A199" s="115"/>
      <c r="B199" s="121"/>
      <c r="C199" s="116"/>
      <c r="D199" s="103"/>
      <c r="E199" s="116"/>
      <c r="F199" s="117"/>
      <c r="G199" s="103"/>
    </row>
    <row r="200" spans="1:7" s="61" customFormat="1" ht="24">
      <c r="A200" s="115"/>
      <c r="B200" s="121"/>
      <c r="C200" s="116"/>
      <c r="D200" s="103"/>
      <c r="E200" s="116"/>
      <c r="F200" s="117"/>
      <c r="G200" s="103"/>
    </row>
    <row r="201" spans="1:7" s="61" customFormat="1" ht="24">
      <c r="A201" s="115"/>
      <c r="B201" s="121"/>
      <c r="C201" s="116"/>
      <c r="D201" s="103"/>
      <c r="E201" s="116"/>
      <c r="F201" s="117"/>
      <c r="G201" s="103"/>
    </row>
    <row r="202" spans="1:7" s="61" customFormat="1" ht="24">
      <c r="A202" s="115"/>
      <c r="B202" s="121"/>
      <c r="C202" s="116"/>
      <c r="D202" s="103"/>
      <c r="E202" s="116"/>
      <c r="F202" s="117"/>
      <c r="G202" s="103"/>
    </row>
    <row r="203" spans="1:7" s="74" customFormat="1" ht="24">
      <c r="A203" s="111" t="s">
        <v>213</v>
      </c>
      <c r="B203" s="104"/>
      <c r="C203" s="104"/>
      <c r="D203" s="106"/>
      <c r="E203" s="104"/>
      <c r="F203" s="105"/>
      <c r="G203" s="106"/>
    </row>
    <row r="204" spans="1:7" s="74" customFormat="1" ht="24">
      <c r="A204" s="111" t="s">
        <v>86</v>
      </c>
      <c r="B204" s="104"/>
      <c r="C204" s="104"/>
      <c r="D204" s="106"/>
      <c r="E204" s="104"/>
      <c r="F204" s="105"/>
      <c r="G204" s="106"/>
    </row>
    <row r="205" spans="1:7" s="61" customFormat="1" ht="24">
      <c r="A205" s="116"/>
      <c r="B205" s="121"/>
      <c r="C205" s="116"/>
      <c r="D205" s="103"/>
      <c r="E205" s="116"/>
      <c r="F205" s="117"/>
      <c r="G205" s="103"/>
    </row>
    <row r="206" spans="1:7" s="61" customFormat="1" ht="24">
      <c r="A206" s="116"/>
      <c r="B206" s="116"/>
      <c r="C206" s="116"/>
      <c r="D206" s="103"/>
      <c r="E206" s="116"/>
      <c r="F206" s="117"/>
      <c r="G206" s="103"/>
    </row>
    <row r="207" spans="1:7" s="74" customFormat="1" ht="24">
      <c r="A207" s="104" t="s">
        <v>210</v>
      </c>
      <c r="B207" s="104"/>
      <c r="C207" s="104"/>
      <c r="D207" s="106"/>
      <c r="E207" s="104"/>
      <c r="F207" s="108"/>
      <c r="G207" s="106">
        <f>(G185-G196+G205)</f>
        <v>4659135.62</v>
      </c>
    </row>
    <row r="208" spans="1:7" s="61" customFormat="1" ht="24">
      <c r="A208" s="123" t="s">
        <v>87</v>
      </c>
      <c r="B208" s="123"/>
      <c r="C208" s="123"/>
      <c r="D208" s="124" t="s">
        <v>88</v>
      </c>
      <c r="E208" s="123"/>
      <c r="F208" s="123"/>
      <c r="G208" s="125"/>
    </row>
    <row r="209" spans="1:7" s="61" customFormat="1" ht="24">
      <c r="A209" s="118"/>
      <c r="B209" s="118"/>
      <c r="C209" s="118"/>
      <c r="D209" s="126"/>
      <c r="E209" s="118"/>
      <c r="F209" s="118"/>
      <c r="G209" s="119"/>
    </row>
    <row r="210" spans="1:7" s="61" customFormat="1" ht="24">
      <c r="A210" s="118"/>
      <c r="B210" s="118"/>
      <c r="C210" s="118"/>
      <c r="D210" s="126"/>
      <c r="E210" s="118"/>
      <c r="F210" s="118"/>
      <c r="G210" s="119"/>
    </row>
    <row r="211" spans="1:7" s="61" customFormat="1" ht="24">
      <c r="A211" s="118" t="s">
        <v>206</v>
      </c>
      <c r="B211" s="118"/>
      <c r="C211" s="118"/>
      <c r="D211" s="126" t="s">
        <v>209</v>
      </c>
      <c r="E211" s="118"/>
      <c r="F211" s="118"/>
      <c r="G211" s="119"/>
    </row>
    <row r="212" spans="1:7" s="61" customFormat="1" ht="24">
      <c r="A212" s="118" t="s">
        <v>197</v>
      </c>
      <c r="B212" s="118"/>
      <c r="C212" s="118"/>
      <c r="D212" s="126" t="s">
        <v>90</v>
      </c>
      <c r="E212" s="118"/>
      <c r="F212" s="118"/>
      <c r="G212" s="119"/>
    </row>
    <row r="213" spans="1:7" s="61" customFormat="1" ht="24">
      <c r="A213" s="118"/>
      <c r="B213" s="118"/>
      <c r="C213" s="118"/>
      <c r="D213" s="119"/>
      <c r="E213" s="118"/>
      <c r="F213" s="118"/>
      <c r="G213" s="119"/>
    </row>
    <row r="214" spans="1:7" s="61" customFormat="1" ht="24">
      <c r="A214" s="118"/>
      <c r="B214" s="118"/>
      <c r="C214" s="118"/>
      <c r="D214" s="119"/>
      <c r="E214" s="118"/>
      <c r="F214" s="118"/>
      <c r="G214" s="119"/>
    </row>
    <row r="215" spans="1:7" s="61" customFormat="1" ht="24">
      <c r="A215" s="118"/>
      <c r="B215" s="118"/>
      <c r="C215" s="118"/>
      <c r="D215" s="119"/>
      <c r="E215" s="118"/>
      <c r="F215" s="118"/>
      <c r="G215" s="119"/>
    </row>
    <row r="216" spans="1:7" s="61" customFormat="1" ht="24">
      <c r="A216" s="118"/>
      <c r="B216" s="118"/>
      <c r="C216" s="118"/>
      <c r="D216" s="119"/>
      <c r="E216" s="118"/>
      <c r="F216" s="118"/>
      <c r="G216" s="119"/>
    </row>
    <row r="217" spans="1:8" s="74" customFormat="1" ht="24">
      <c r="A217" s="104" t="s">
        <v>100</v>
      </c>
      <c r="B217" s="104"/>
      <c r="C217" s="105" t="s">
        <v>141</v>
      </c>
      <c r="D217" s="106"/>
      <c r="E217" s="104"/>
      <c r="F217" s="104"/>
      <c r="G217" s="106"/>
      <c r="H217" s="74">
        <v>7</v>
      </c>
    </row>
    <row r="218" spans="1:13" s="74" customFormat="1" ht="24">
      <c r="A218" s="104"/>
      <c r="B218" s="104"/>
      <c r="C218" s="105" t="s">
        <v>166</v>
      </c>
      <c r="D218" s="106"/>
      <c r="E218" s="104"/>
      <c r="F218" s="104"/>
      <c r="G218" s="106"/>
      <c r="J218" s="74" t="s">
        <v>208</v>
      </c>
      <c r="M218" s="74" t="s">
        <v>214</v>
      </c>
    </row>
    <row r="219" spans="1:7" s="74" customFormat="1" ht="24">
      <c r="A219" s="104" t="s">
        <v>80</v>
      </c>
      <c r="B219" s="104"/>
      <c r="C219" s="105"/>
      <c r="D219" s="106"/>
      <c r="E219" s="104"/>
      <c r="F219" s="104"/>
      <c r="G219" s="106"/>
    </row>
    <row r="220" spans="1:7" s="74" customFormat="1" ht="24">
      <c r="A220" s="107"/>
      <c r="B220" s="107"/>
      <c r="C220" s="108"/>
      <c r="D220" s="109"/>
      <c r="E220" s="107"/>
      <c r="F220" s="107"/>
      <c r="G220" s="109"/>
    </row>
    <row r="221" spans="1:7" s="74" customFormat="1" ht="24">
      <c r="A221" s="104" t="s">
        <v>204</v>
      </c>
      <c r="B221" s="104"/>
      <c r="C221" s="104"/>
      <c r="D221" s="106"/>
      <c r="E221" s="104"/>
      <c r="F221" s="110"/>
      <c r="G221" s="106">
        <v>701665.07</v>
      </c>
    </row>
    <row r="222" spans="1:7" s="74" customFormat="1" ht="24">
      <c r="A222" s="111" t="s">
        <v>211</v>
      </c>
      <c r="B222" s="104"/>
      <c r="C222" s="104"/>
      <c r="D222" s="106"/>
      <c r="E222" s="104"/>
      <c r="F222" s="105"/>
      <c r="G222" s="106"/>
    </row>
    <row r="223" spans="1:7" s="82" customFormat="1" ht="24">
      <c r="A223" s="112" t="s">
        <v>81</v>
      </c>
      <c r="B223" s="112" t="s">
        <v>82</v>
      </c>
      <c r="C223" s="112"/>
      <c r="D223" s="113" t="s">
        <v>83</v>
      </c>
      <c r="E223" s="112"/>
      <c r="F223" s="114"/>
      <c r="G223" s="113"/>
    </row>
    <row r="224" spans="1:7" s="61" customFormat="1" ht="24">
      <c r="A224" s="115"/>
      <c r="B224" s="115"/>
      <c r="C224" s="116"/>
      <c r="D224" s="103"/>
      <c r="E224" s="116"/>
      <c r="F224" s="117"/>
      <c r="G224" s="103"/>
    </row>
    <row r="225" spans="1:7" s="61" customFormat="1" ht="24">
      <c r="A225" s="115"/>
      <c r="B225" s="115"/>
      <c r="C225" s="116"/>
      <c r="D225" s="103"/>
      <c r="E225" s="116"/>
      <c r="F225" s="117"/>
      <c r="G225" s="103"/>
    </row>
    <row r="226" spans="1:7" s="61" customFormat="1" ht="24">
      <c r="A226" s="115"/>
      <c r="B226" s="115"/>
      <c r="C226" s="116"/>
      <c r="D226" s="103"/>
      <c r="E226" s="116"/>
      <c r="F226" s="117"/>
      <c r="G226" s="103"/>
    </row>
    <row r="227" spans="1:7" s="61" customFormat="1" ht="24">
      <c r="A227" s="115"/>
      <c r="B227" s="116"/>
      <c r="C227" s="116"/>
      <c r="D227" s="103"/>
      <c r="E227" s="116"/>
      <c r="F227" s="117"/>
      <c r="G227" s="103"/>
    </row>
    <row r="228" spans="1:7" s="61" customFormat="1" ht="24">
      <c r="A228" s="115"/>
      <c r="B228" s="116"/>
      <c r="C228" s="116"/>
      <c r="D228" s="103"/>
      <c r="E228" s="116"/>
      <c r="F228" s="117"/>
      <c r="G228" s="103"/>
    </row>
    <row r="229" spans="1:7" s="61" customFormat="1" ht="24">
      <c r="A229" s="118"/>
      <c r="B229" s="118"/>
      <c r="C229" s="118"/>
      <c r="D229" s="119"/>
      <c r="E229" s="118"/>
      <c r="F229" s="120"/>
      <c r="G229" s="119"/>
    </row>
    <row r="230" spans="1:7" s="74" customFormat="1" ht="24">
      <c r="A230" s="111" t="s">
        <v>212</v>
      </c>
      <c r="B230" s="104"/>
      <c r="C230" s="104"/>
      <c r="D230" s="106"/>
      <c r="E230" s="104"/>
      <c r="F230" s="105"/>
      <c r="G230" s="106"/>
    </row>
    <row r="231" spans="1:10" s="82" customFormat="1" ht="24">
      <c r="A231" s="127" t="s">
        <v>84</v>
      </c>
      <c r="B231" s="127" t="s">
        <v>85</v>
      </c>
      <c r="C231" s="127"/>
      <c r="D231" s="128" t="s">
        <v>83</v>
      </c>
      <c r="E231" s="112"/>
      <c r="F231" s="114"/>
      <c r="G231" s="113"/>
      <c r="J231" s="82" t="s">
        <v>97</v>
      </c>
    </row>
    <row r="232" spans="1:7" s="61" customFormat="1" ht="24">
      <c r="A232" s="122" t="s">
        <v>97</v>
      </c>
      <c r="B232" s="122" t="s">
        <v>97</v>
      </c>
      <c r="C232" s="118"/>
      <c r="D232" s="119" t="s">
        <v>97</v>
      </c>
      <c r="E232" s="116"/>
      <c r="F232" s="117"/>
      <c r="G232" s="103">
        <f>SUM(D232:D233)</f>
        <v>0</v>
      </c>
    </row>
    <row r="233" spans="1:7" s="61" customFormat="1" ht="24">
      <c r="A233" s="115"/>
      <c r="B233" s="115" t="s">
        <v>97</v>
      </c>
      <c r="C233" s="116"/>
      <c r="D233" s="103" t="s">
        <v>97</v>
      </c>
      <c r="E233" s="116"/>
      <c r="F233" s="117"/>
      <c r="G233" s="103" t="s">
        <v>97</v>
      </c>
    </row>
    <row r="234" spans="1:7" s="61" customFormat="1" ht="24">
      <c r="A234" s="115"/>
      <c r="B234" s="121"/>
      <c r="C234" s="116"/>
      <c r="D234" s="103"/>
      <c r="E234" s="116"/>
      <c r="F234" s="117"/>
      <c r="G234" s="103"/>
    </row>
    <row r="235" spans="1:7" s="61" customFormat="1" ht="24">
      <c r="A235" s="115"/>
      <c r="B235" s="121"/>
      <c r="C235" s="116"/>
      <c r="D235" s="103"/>
      <c r="E235" s="116"/>
      <c r="F235" s="117"/>
      <c r="G235" s="103"/>
    </row>
    <row r="236" spans="1:7" s="61" customFormat="1" ht="24">
      <c r="A236" s="115"/>
      <c r="B236" s="121"/>
      <c r="C236" s="116"/>
      <c r="D236" s="103"/>
      <c r="E236" s="116"/>
      <c r="F236" s="117"/>
      <c r="G236" s="103"/>
    </row>
    <row r="237" spans="1:7" s="61" customFormat="1" ht="24">
      <c r="A237" s="115"/>
      <c r="B237" s="121"/>
      <c r="C237" s="116"/>
      <c r="D237" s="103"/>
      <c r="E237" s="116"/>
      <c r="F237" s="117"/>
      <c r="G237" s="103"/>
    </row>
    <row r="238" spans="1:7" s="61" customFormat="1" ht="24">
      <c r="A238" s="115"/>
      <c r="B238" s="121"/>
      <c r="C238" s="116"/>
      <c r="D238" s="103"/>
      <c r="E238" s="116"/>
      <c r="F238" s="117"/>
      <c r="G238" s="103"/>
    </row>
    <row r="239" spans="1:7" s="74" customFormat="1" ht="24">
      <c r="A239" s="111" t="s">
        <v>213</v>
      </c>
      <c r="B239" s="104"/>
      <c r="C239" s="104"/>
      <c r="D239" s="106"/>
      <c r="E239" s="104"/>
      <c r="F239" s="105"/>
      <c r="G239" s="106"/>
    </row>
    <row r="240" spans="1:7" s="74" customFormat="1" ht="24">
      <c r="A240" s="111" t="s">
        <v>86</v>
      </c>
      <c r="B240" s="104"/>
      <c r="C240" s="104"/>
      <c r="D240" s="106"/>
      <c r="E240" s="104"/>
      <c r="F240" s="105"/>
      <c r="G240" s="106"/>
    </row>
    <row r="241" spans="1:7" s="61" customFormat="1" ht="24">
      <c r="A241" s="116" t="s">
        <v>179</v>
      </c>
      <c r="B241" s="121" t="s">
        <v>139</v>
      </c>
      <c r="C241" s="116"/>
      <c r="D241" s="103" t="s">
        <v>97</v>
      </c>
      <c r="E241" s="116"/>
      <c r="F241" s="117"/>
      <c r="G241" s="103">
        <v>0</v>
      </c>
    </row>
    <row r="242" spans="1:7" s="61" customFormat="1" ht="24">
      <c r="A242" s="116"/>
      <c r="B242" s="116"/>
      <c r="C242" s="116"/>
      <c r="D242" s="103"/>
      <c r="E242" s="116"/>
      <c r="F242" s="117"/>
      <c r="G242" s="103"/>
    </row>
    <row r="243" spans="1:7" s="74" customFormat="1" ht="24">
      <c r="A243" s="104" t="s">
        <v>205</v>
      </c>
      <c r="B243" s="104"/>
      <c r="C243" s="104"/>
      <c r="D243" s="106"/>
      <c r="E243" s="104"/>
      <c r="F243" s="108"/>
      <c r="G243" s="106">
        <f>(G221+G232)</f>
        <v>701665.07</v>
      </c>
    </row>
    <row r="244" spans="1:7" s="61" customFormat="1" ht="24">
      <c r="A244" s="123" t="s">
        <v>87</v>
      </c>
      <c r="B244" s="123"/>
      <c r="C244" s="123"/>
      <c r="D244" s="124" t="s">
        <v>88</v>
      </c>
      <c r="E244" s="123"/>
      <c r="F244" s="123"/>
      <c r="G244" s="125"/>
    </row>
    <row r="245" spans="1:7" s="61" customFormat="1" ht="24">
      <c r="A245" s="118"/>
      <c r="B245" s="118"/>
      <c r="C245" s="118"/>
      <c r="D245" s="126"/>
      <c r="E245" s="118"/>
      <c r="F245" s="118"/>
      <c r="G245" s="119"/>
    </row>
    <row r="246" spans="1:7" s="61" customFormat="1" ht="24">
      <c r="A246" s="118"/>
      <c r="B246" s="118"/>
      <c r="C246" s="118"/>
      <c r="D246" s="126"/>
      <c r="E246" s="118"/>
      <c r="F246" s="118"/>
      <c r="G246" s="119"/>
    </row>
    <row r="247" spans="1:7" s="61" customFormat="1" ht="24">
      <c r="A247" s="118" t="s">
        <v>206</v>
      </c>
      <c r="B247" s="118"/>
      <c r="C247" s="118"/>
      <c r="D247" s="126" t="s">
        <v>207</v>
      </c>
      <c r="E247" s="118"/>
      <c r="F247" s="118"/>
      <c r="G247" s="119"/>
    </row>
    <row r="248" spans="1:7" s="61" customFormat="1" ht="24">
      <c r="A248" s="118" t="s">
        <v>197</v>
      </c>
      <c r="B248" s="118"/>
      <c r="C248" s="118"/>
      <c r="D248" s="126" t="s">
        <v>90</v>
      </c>
      <c r="E248" s="118"/>
      <c r="F248" s="118"/>
      <c r="G248" s="119"/>
    </row>
    <row r="249" spans="4:7" s="61" customFormat="1" ht="24">
      <c r="D249" s="60"/>
      <c r="G249" s="60"/>
    </row>
    <row r="250" spans="4:7" s="61" customFormat="1" ht="24">
      <c r="D250" s="60"/>
      <c r="G250" s="60"/>
    </row>
    <row r="251" spans="4:7" s="61" customFormat="1" ht="24">
      <c r="D251" s="60"/>
      <c r="G251" s="60"/>
    </row>
    <row r="252" spans="1:8" s="74" customFormat="1" ht="24">
      <c r="A252" s="74" t="s">
        <v>100</v>
      </c>
      <c r="C252" s="75" t="s">
        <v>117</v>
      </c>
      <c r="D252" s="76"/>
      <c r="G252" s="76"/>
      <c r="H252" s="74">
        <v>8</v>
      </c>
    </row>
    <row r="253" spans="3:7" s="74" customFormat="1" ht="24">
      <c r="C253" s="75" t="s">
        <v>121</v>
      </c>
      <c r="D253" s="76"/>
      <c r="G253" s="76"/>
    </row>
    <row r="254" spans="1:7" s="74" customFormat="1" ht="24">
      <c r="A254" s="74" t="s">
        <v>80</v>
      </c>
      <c r="C254" s="75"/>
      <c r="D254" s="76"/>
      <c r="G254" s="76"/>
    </row>
    <row r="255" spans="1:9" s="74" customFormat="1" ht="24">
      <c r="A255" s="77"/>
      <c r="B255" s="77"/>
      <c r="C255" s="78"/>
      <c r="D255" s="79"/>
      <c r="E255" s="77"/>
      <c r="F255" s="77"/>
      <c r="G255" s="79"/>
      <c r="I255" s="74" t="s">
        <v>157</v>
      </c>
    </row>
    <row r="256" spans="1:7" s="74" customFormat="1" ht="24">
      <c r="A256" s="74" t="s">
        <v>158</v>
      </c>
      <c r="D256" s="76"/>
      <c r="F256" s="80"/>
      <c r="G256" s="76">
        <v>12976252.07</v>
      </c>
    </row>
    <row r="257" spans="1:7" s="74" customFormat="1" ht="24">
      <c r="A257" s="81" t="s">
        <v>180</v>
      </c>
      <c r="D257" s="76"/>
      <c r="F257" s="75"/>
      <c r="G257" s="76"/>
    </row>
    <row r="258" spans="1:7" s="82" customFormat="1" ht="24">
      <c r="A258" s="82" t="s">
        <v>81</v>
      </c>
      <c r="B258" s="82" t="s">
        <v>82</v>
      </c>
      <c r="D258" s="83" t="s">
        <v>83</v>
      </c>
      <c r="F258" s="84"/>
      <c r="G258" s="83"/>
    </row>
    <row r="259" spans="1:7" s="61" customFormat="1" ht="24">
      <c r="A259" s="85"/>
      <c r="B259" s="85"/>
      <c r="C259" s="86"/>
      <c r="D259" s="87"/>
      <c r="E259" s="86"/>
      <c r="F259" s="88"/>
      <c r="G259" s="87"/>
    </row>
    <row r="260" spans="1:7" s="61" customFormat="1" ht="24">
      <c r="A260" s="85"/>
      <c r="B260" s="85"/>
      <c r="C260" s="86"/>
      <c r="D260" s="87"/>
      <c r="E260" s="86"/>
      <c r="F260" s="88"/>
      <c r="G260" s="87"/>
    </row>
    <row r="261" spans="1:7" s="61" customFormat="1" ht="24">
      <c r="A261" s="85"/>
      <c r="B261" s="85"/>
      <c r="C261" s="86"/>
      <c r="D261" s="87"/>
      <c r="E261" s="86"/>
      <c r="F261" s="88"/>
      <c r="G261" s="87"/>
    </row>
    <row r="262" spans="1:7" s="61" customFormat="1" ht="24">
      <c r="A262" s="85"/>
      <c r="B262" s="86"/>
      <c r="C262" s="86"/>
      <c r="D262" s="87"/>
      <c r="E262" s="86"/>
      <c r="F262" s="88"/>
      <c r="G262" s="87"/>
    </row>
    <row r="263" spans="1:7" s="61" customFormat="1" ht="24">
      <c r="A263" s="85"/>
      <c r="B263" s="86"/>
      <c r="C263" s="86"/>
      <c r="D263" s="87"/>
      <c r="E263" s="86"/>
      <c r="F263" s="88"/>
      <c r="G263" s="87"/>
    </row>
    <row r="264" spans="4:7" s="61" customFormat="1" ht="24">
      <c r="D264" s="60"/>
      <c r="F264" s="89"/>
      <c r="G264" s="60"/>
    </row>
    <row r="265" spans="1:7" s="74" customFormat="1" ht="24">
      <c r="A265" s="81" t="s">
        <v>181</v>
      </c>
      <c r="D265" s="76"/>
      <c r="F265" s="75"/>
      <c r="G265" s="76"/>
    </row>
    <row r="266" spans="1:7" s="82" customFormat="1" ht="24">
      <c r="A266" s="82" t="s">
        <v>84</v>
      </c>
      <c r="B266" s="82" t="s">
        <v>85</v>
      </c>
      <c r="D266" s="83" t="s">
        <v>83</v>
      </c>
      <c r="F266" s="84"/>
      <c r="G266" s="83"/>
    </row>
    <row r="267" spans="1:7" s="61" customFormat="1" ht="24">
      <c r="A267" s="85"/>
      <c r="B267" s="90"/>
      <c r="C267" s="86"/>
      <c r="D267" s="87"/>
      <c r="E267" s="86"/>
      <c r="F267" s="88"/>
      <c r="G267" s="87">
        <f>SUM(D267:D273)</f>
        <v>574509.87</v>
      </c>
    </row>
    <row r="268" spans="1:7" s="61" customFormat="1" ht="24">
      <c r="A268" s="85" t="s">
        <v>174</v>
      </c>
      <c r="B268" s="90"/>
      <c r="C268" s="86"/>
      <c r="D268" s="87">
        <v>574509.87</v>
      </c>
      <c r="E268" s="86"/>
      <c r="F268" s="88"/>
      <c r="G268" s="87"/>
    </row>
    <row r="269" spans="1:7" s="61" customFormat="1" ht="24">
      <c r="A269" s="85"/>
      <c r="B269" s="90"/>
      <c r="C269" s="86"/>
      <c r="D269" s="87"/>
      <c r="E269" s="86"/>
      <c r="F269" s="88"/>
      <c r="G269" s="87"/>
    </row>
    <row r="270" spans="1:7" s="61" customFormat="1" ht="24">
      <c r="A270" s="85" t="s">
        <v>97</v>
      </c>
      <c r="B270" s="90" t="s">
        <v>97</v>
      </c>
      <c r="C270" s="86" t="s">
        <v>97</v>
      </c>
      <c r="D270" s="87" t="s">
        <v>97</v>
      </c>
      <c r="E270" s="86"/>
      <c r="F270" s="88"/>
      <c r="G270" s="87"/>
    </row>
    <row r="271" spans="1:7" s="61" customFormat="1" ht="24">
      <c r="A271" s="85"/>
      <c r="B271" s="90"/>
      <c r="C271" s="86"/>
      <c r="D271" s="87"/>
      <c r="E271" s="86"/>
      <c r="F271" s="88"/>
      <c r="G271" s="87"/>
    </row>
    <row r="272" spans="1:7" s="61" customFormat="1" ht="24">
      <c r="A272" s="85"/>
      <c r="B272" s="90"/>
      <c r="C272" s="86"/>
      <c r="D272" s="87"/>
      <c r="E272" s="86"/>
      <c r="F272" s="88"/>
      <c r="G272" s="87"/>
    </row>
    <row r="273" spans="1:7" s="61" customFormat="1" ht="24">
      <c r="A273" s="85"/>
      <c r="B273" s="90"/>
      <c r="C273" s="86"/>
      <c r="D273" s="87"/>
      <c r="E273" s="86"/>
      <c r="F273" s="88"/>
      <c r="G273" s="87"/>
    </row>
    <row r="274" spans="1:7" s="74" customFormat="1" ht="24">
      <c r="A274" s="81" t="s">
        <v>182</v>
      </c>
      <c r="D274" s="76"/>
      <c r="F274" s="75"/>
      <c r="G274" s="76"/>
    </row>
    <row r="275" spans="1:7" s="74" customFormat="1" ht="24">
      <c r="A275" s="81" t="s">
        <v>86</v>
      </c>
      <c r="D275" s="76"/>
      <c r="F275" s="75"/>
      <c r="G275" s="76"/>
    </row>
    <row r="276" spans="1:7" s="61" customFormat="1" ht="24">
      <c r="A276" s="86" t="s">
        <v>97</v>
      </c>
      <c r="B276" s="86"/>
      <c r="C276" s="86"/>
      <c r="D276" s="87" t="s">
        <v>97</v>
      </c>
      <c r="E276" s="86"/>
      <c r="F276" s="88"/>
      <c r="G276" s="87" t="s">
        <v>97</v>
      </c>
    </row>
    <row r="277" spans="1:7" s="61" customFormat="1" ht="24">
      <c r="A277" s="86" t="s">
        <v>97</v>
      </c>
      <c r="B277" s="86"/>
      <c r="C277" s="86"/>
      <c r="D277" s="87" t="s">
        <v>97</v>
      </c>
      <c r="E277" s="86"/>
      <c r="F277" s="88"/>
      <c r="G277" s="87" t="s">
        <v>97</v>
      </c>
    </row>
    <row r="278" spans="1:7" s="61" customFormat="1" ht="24">
      <c r="A278" s="86"/>
      <c r="B278" s="86"/>
      <c r="C278" s="86"/>
      <c r="D278" s="87"/>
      <c r="E278" s="86"/>
      <c r="F278" s="88"/>
      <c r="G278" s="87"/>
    </row>
    <row r="279" spans="1:7" s="74" customFormat="1" ht="24">
      <c r="A279" s="74" t="s">
        <v>164</v>
      </c>
      <c r="D279" s="76"/>
      <c r="F279" s="78"/>
      <c r="G279" s="76">
        <f>SUM(G256-G267)</f>
        <v>12401742.200000001</v>
      </c>
    </row>
    <row r="280" spans="1:7" s="61" customFormat="1" ht="24">
      <c r="A280" s="91" t="s">
        <v>87</v>
      </c>
      <c r="B280" s="91"/>
      <c r="C280" s="91"/>
      <c r="D280" s="92" t="s">
        <v>88</v>
      </c>
      <c r="E280" s="91"/>
      <c r="F280" s="91"/>
      <c r="G280" s="93"/>
    </row>
    <row r="281" spans="4:7" s="61" customFormat="1" ht="24">
      <c r="D281" s="94"/>
      <c r="G281" s="60"/>
    </row>
    <row r="282" spans="1:7" s="61" customFormat="1" ht="24">
      <c r="A282" s="61" t="s">
        <v>165</v>
      </c>
      <c r="D282" s="94" t="s">
        <v>165</v>
      </c>
      <c r="G282" s="60"/>
    </row>
    <row r="283" spans="1:7" s="61" customFormat="1" ht="24">
      <c r="A283" s="61" t="s">
        <v>89</v>
      </c>
      <c r="D283" s="94" t="s">
        <v>90</v>
      </c>
      <c r="G283" s="60"/>
    </row>
    <row r="284" spans="4:7" s="61" customFormat="1" ht="24">
      <c r="D284" s="60"/>
      <c r="G284" s="60"/>
    </row>
    <row r="285" spans="4:7" s="61" customFormat="1" ht="24">
      <c r="D285" s="60"/>
      <c r="G285" s="60"/>
    </row>
    <row r="286" spans="4:7" s="61" customFormat="1" ht="24">
      <c r="D286" s="60"/>
      <c r="G286" s="60"/>
    </row>
    <row r="287" spans="4:7" s="61" customFormat="1" ht="24">
      <c r="D287" s="60"/>
      <c r="G287" s="60"/>
    </row>
    <row r="288" spans="1:8" s="74" customFormat="1" ht="24">
      <c r="A288" s="74" t="s">
        <v>100</v>
      </c>
      <c r="C288" s="75" t="s">
        <v>141</v>
      </c>
      <c r="D288" s="76"/>
      <c r="G288" s="76"/>
      <c r="H288" s="74">
        <v>9</v>
      </c>
    </row>
    <row r="289" spans="3:9" s="74" customFormat="1" ht="24">
      <c r="C289" s="75" t="s">
        <v>166</v>
      </c>
      <c r="D289" s="76"/>
      <c r="G289" s="76"/>
      <c r="I289" s="74" t="s">
        <v>157</v>
      </c>
    </row>
    <row r="290" spans="1:7" s="74" customFormat="1" ht="24">
      <c r="A290" s="74" t="s">
        <v>80</v>
      </c>
      <c r="C290" s="75"/>
      <c r="D290" s="76"/>
      <c r="G290" s="76"/>
    </row>
    <row r="291" spans="1:7" s="74" customFormat="1" ht="24">
      <c r="A291" s="77"/>
      <c r="B291" s="77"/>
      <c r="C291" s="78"/>
      <c r="D291" s="79"/>
      <c r="E291" s="77"/>
      <c r="F291" s="77"/>
      <c r="G291" s="79"/>
    </row>
    <row r="292" spans="1:7" s="74" customFormat="1" ht="24">
      <c r="A292" s="74" t="s">
        <v>158</v>
      </c>
      <c r="D292" s="76"/>
      <c r="F292" s="80"/>
      <c r="G292" s="76">
        <v>1471297.75</v>
      </c>
    </row>
    <row r="293" spans="1:7" s="74" customFormat="1" ht="24">
      <c r="A293" s="81" t="s">
        <v>180</v>
      </c>
      <c r="D293" s="76"/>
      <c r="F293" s="75"/>
      <c r="G293" s="76"/>
    </row>
    <row r="294" spans="1:7" s="82" customFormat="1" ht="24">
      <c r="A294" s="82" t="s">
        <v>81</v>
      </c>
      <c r="B294" s="82" t="s">
        <v>82</v>
      </c>
      <c r="D294" s="83" t="s">
        <v>83</v>
      </c>
      <c r="F294" s="84"/>
      <c r="G294" s="83"/>
    </row>
    <row r="295" spans="1:7" s="61" customFormat="1" ht="24">
      <c r="A295" s="85"/>
      <c r="B295" s="85"/>
      <c r="C295" s="86"/>
      <c r="D295" s="87"/>
      <c r="E295" s="86"/>
      <c r="F295" s="88"/>
      <c r="G295" s="87"/>
    </row>
    <row r="296" spans="1:7" s="61" customFormat="1" ht="24">
      <c r="A296" s="85"/>
      <c r="B296" s="85"/>
      <c r="C296" s="86"/>
      <c r="D296" s="87"/>
      <c r="E296" s="86"/>
      <c r="F296" s="88"/>
      <c r="G296" s="87"/>
    </row>
    <row r="297" spans="1:7" s="61" customFormat="1" ht="24">
      <c r="A297" s="85"/>
      <c r="B297" s="85"/>
      <c r="C297" s="86"/>
      <c r="D297" s="87"/>
      <c r="E297" s="86"/>
      <c r="F297" s="88"/>
      <c r="G297" s="87"/>
    </row>
    <row r="298" spans="1:7" s="61" customFormat="1" ht="24">
      <c r="A298" s="85"/>
      <c r="B298" s="86"/>
      <c r="C298" s="86"/>
      <c r="D298" s="87"/>
      <c r="E298" s="86"/>
      <c r="F298" s="88"/>
      <c r="G298" s="87"/>
    </row>
    <row r="299" spans="1:7" s="61" customFormat="1" ht="24">
      <c r="A299" s="85"/>
      <c r="B299" s="86"/>
      <c r="C299" s="86"/>
      <c r="D299" s="87"/>
      <c r="E299" s="86"/>
      <c r="F299" s="88"/>
      <c r="G299" s="87"/>
    </row>
    <row r="300" spans="4:7" s="61" customFormat="1" ht="24">
      <c r="D300" s="60"/>
      <c r="F300" s="89"/>
      <c r="G300" s="60"/>
    </row>
    <row r="301" spans="1:7" s="74" customFormat="1" ht="24">
      <c r="A301" s="81" t="s">
        <v>181</v>
      </c>
      <c r="D301" s="76"/>
      <c r="F301" s="75"/>
      <c r="G301" s="76"/>
    </row>
    <row r="302" spans="1:7" s="82" customFormat="1" ht="24">
      <c r="A302" s="95" t="s">
        <v>84</v>
      </c>
      <c r="B302" s="95" t="s">
        <v>85</v>
      </c>
      <c r="C302" s="95"/>
      <c r="D302" s="96" t="s">
        <v>83</v>
      </c>
      <c r="F302" s="84"/>
      <c r="G302" s="83"/>
    </row>
    <row r="303" spans="1:7" s="61" customFormat="1" ht="24">
      <c r="A303" s="97" t="s">
        <v>97</v>
      </c>
      <c r="B303" s="97" t="s">
        <v>97</v>
      </c>
      <c r="D303" s="60" t="s">
        <v>97</v>
      </c>
      <c r="E303" s="86"/>
      <c r="F303" s="88"/>
      <c r="G303" s="87">
        <f>SUM(D303:D304)</f>
        <v>10712.78</v>
      </c>
    </row>
    <row r="304" spans="1:7" s="61" customFormat="1" ht="24">
      <c r="A304" s="85" t="s">
        <v>175</v>
      </c>
      <c r="B304" s="85" t="s">
        <v>97</v>
      </c>
      <c r="C304" s="86"/>
      <c r="D304" s="87">
        <v>10712.78</v>
      </c>
      <c r="E304" s="86"/>
      <c r="F304" s="88"/>
      <c r="G304" s="87" t="s">
        <v>97</v>
      </c>
    </row>
    <row r="305" spans="1:7" s="61" customFormat="1" ht="24">
      <c r="A305" s="85"/>
      <c r="B305" s="90"/>
      <c r="C305" s="86"/>
      <c r="D305" s="87"/>
      <c r="E305" s="86"/>
      <c r="F305" s="88"/>
      <c r="G305" s="87"/>
    </row>
    <row r="306" spans="1:7" s="61" customFormat="1" ht="24">
      <c r="A306" s="85"/>
      <c r="B306" s="90"/>
      <c r="C306" s="86"/>
      <c r="D306" s="87"/>
      <c r="E306" s="86"/>
      <c r="F306" s="88"/>
      <c r="G306" s="87"/>
    </row>
    <row r="307" spans="1:7" s="61" customFormat="1" ht="24">
      <c r="A307" s="85"/>
      <c r="B307" s="90"/>
      <c r="C307" s="86"/>
      <c r="D307" s="87"/>
      <c r="E307" s="86"/>
      <c r="F307" s="88"/>
      <c r="G307" s="87"/>
    </row>
    <row r="308" spans="1:7" s="61" customFormat="1" ht="24">
      <c r="A308" s="85"/>
      <c r="B308" s="90"/>
      <c r="C308" s="86"/>
      <c r="D308" s="87"/>
      <c r="E308" s="86"/>
      <c r="F308" s="88"/>
      <c r="G308" s="87"/>
    </row>
    <row r="309" spans="1:7" s="61" customFormat="1" ht="24">
      <c r="A309" s="85"/>
      <c r="B309" s="90"/>
      <c r="C309" s="86"/>
      <c r="D309" s="87"/>
      <c r="E309" s="86"/>
      <c r="F309" s="88"/>
      <c r="G309" s="87"/>
    </row>
    <row r="310" spans="1:7" s="74" customFormat="1" ht="24">
      <c r="A310" s="81" t="s">
        <v>182</v>
      </c>
      <c r="D310" s="76"/>
      <c r="F310" s="75"/>
      <c r="G310" s="76"/>
    </row>
    <row r="311" spans="1:7" s="74" customFormat="1" ht="24">
      <c r="A311" s="81" t="s">
        <v>86</v>
      </c>
      <c r="D311" s="76"/>
      <c r="F311" s="75"/>
      <c r="G311" s="76"/>
    </row>
    <row r="312" spans="1:7" s="61" customFormat="1" ht="24">
      <c r="A312" s="86" t="s">
        <v>167</v>
      </c>
      <c r="B312" s="90" t="s">
        <v>139</v>
      </c>
      <c r="C312" s="86"/>
      <c r="D312" s="87">
        <v>728411.66</v>
      </c>
      <c r="E312" s="86"/>
      <c r="F312" s="88"/>
      <c r="G312" s="87">
        <v>728411.66</v>
      </c>
    </row>
    <row r="313" spans="1:7" s="61" customFormat="1" ht="24">
      <c r="A313" s="86"/>
      <c r="B313" s="86"/>
      <c r="C313" s="86"/>
      <c r="D313" s="87"/>
      <c r="E313" s="86"/>
      <c r="F313" s="88"/>
      <c r="G313" s="87"/>
    </row>
    <row r="314" spans="1:7" s="74" customFormat="1" ht="24">
      <c r="A314" s="74" t="s">
        <v>159</v>
      </c>
      <c r="D314" s="76"/>
      <c r="F314" s="78"/>
      <c r="G314" s="76">
        <f>(G292-G303-G312)</f>
        <v>732173.3099999999</v>
      </c>
    </row>
    <row r="315" spans="1:7" s="61" customFormat="1" ht="24">
      <c r="A315" s="91" t="s">
        <v>87</v>
      </c>
      <c r="B315" s="91"/>
      <c r="C315" s="91"/>
      <c r="D315" s="92" t="s">
        <v>88</v>
      </c>
      <c r="E315" s="91"/>
      <c r="F315" s="91"/>
      <c r="G315" s="93"/>
    </row>
    <row r="316" spans="4:7" s="61" customFormat="1" ht="24">
      <c r="D316" s="94"/>
      <c r="G316" s="60"/>
    </row>
    <row r="317" spans="4:7" s="61" customFormat="1" ht="24">
      <c r="D317" s="94"/>
      <c r="G317" s="60"/>
    </row>
    <row r="318" spans="1:7" s="61" customFormat="1" ht="24">
      <c r="A318" s="61" t="s">
        <v>162</v>
      </c>
      <c r="D318" s="94" t="s">
        <v>161</v>
      </c>
      <c r="G318" s="60"/>
    </row>
    <row r="319" spans="1:7" s="61" customFormat="1" ht="24">
      <c r="A319" s="61" t="s">
        <v>89</v>
      </c>
      <c r="D319" s="94" t="s">
        <v>90</v>
      </c>
      <c r="G319" s="60"/>
    </row>
    <row r="320" spans="4:7" s="61" customFormat="1" ht="24">
      <c r="D320" s="60"/>
      <c r="G320" s="60"/>
    </row>
    <row r="321" spans="4:7" s="61" customFormat="1" ht="24">
      <c r="D321" s="60"/>
      <c r="G321" s="60"/>
    </row>
    <row r="322" spans="4:7" s="61" customFormat="1" ht="24">
      <c r="D322" s="60"/>
      <c r="G322" s="60"/>
    </row>
    <row r="323" spans="4:7" s="61" customFormat="1" ht="24">
      <c r="D323" s="60"/>
      <c r="G323" s="60"/>
    </row>
    <row r="324" spans="1:8" s="74" customFormat="1" ht="24">
      <c r="A324" s="74" t="s">
        <v>100</v>
      </c>
      <c r="C324" s="75" t="s">
        <v>117</v>
      </c>
      <c r="D324" s="76"/>
      <c r="G324" s="76"/>
      <c r="H324" s="74">
        <v>10</v>
      </c>
    </row>
    <row r="325" spans="3:7" s="74" customFormat="1" ht="24">
      <c r="C325" s="75" t="s">
        <v>121</v>
      </c>
      <c r="D325" s="76"/>
      <c r="G325" s="76"/>
    </row>
    <row r="326" spans="1:7" s="74" customFormat="1" ht="24">
      <c r="A326" s="74" t="s">
        <v>80</v>
      </c>
      <c r="C326" s="75"/>
      <c r="D326" s="76"/>
      <c r="G326" s="76"/>
    </row>
    <row r="327" spans="1:9" s="74" customFormat="1" ht="24">
      <c r="A327" s="77"/>
      <c r="B327" s="77"/>
      <c r="C327" s="78"/>
      <c r="D327" s="79"/>
      <c r="E327" s="77"/>
      <c r="F327" s="77"/>
      <c r="G327" s="79"/>
      <c r="I327" s="74" t="s">
        <v>157</v>
      </c>
    </row>
    <row r="328" spans="1:7" s="74" customFormat="1" ht="24">
      <c r="A328" s="74" t="s">
        <v>176</v>
      </c>
      <c r="D328" s="76"/>
      <c r="F328" s="80"/>
      <c r="G328" s="76">
        <v>12401742.2</v>
      </c>
    </row>
    <row r="329" spans="1:7" s="74" customFormat="1" ht="24">
      <c r="A329" s="81" t="s">
        <v>180</v>
      </c>
      <c r="D329" s="76"/>
      <c r="F329" s="75"/>
      <c r="G329" s="76"/>
    </row>
    <row r="330" spans="1:7" s="82" customFormat="1" ht="24">
      <c r="A330" s="82" t="s">
        <v>81</v>
      </c>
      <c r="B330" s="82" t="s">
        <v>82</v>
      </c>
      <c r="D330" s="83" t="s">
        <v>83</v>
      </c>
      <c r="F330" s="84"/>
      <c r="G330" s="83"/>
    </row>
    <row r="331" spans="1:7" s="61" customFormat="1" ht="24">
      <c r="A331" s="85"/>
      <c r="B331" s="85"/>
      <c r="C331" s="86"/>
      <c r="D331" s="87"/>
      <c r="E331" s="86"/>
      <c r="F331" s="88"/>
      <c r="G331" s="87"/>
    </row>
    <row r="332" spans="1:7" s="61" customFormat="1" ht="24">
      <c r="A332" s="85"/>
      <c r="B332" s="85"/>
      <c r="C332" s="86"/>
      <c r="D332" s="87"/>
      <c r="E332" s="86"/>
      <c r="F332" s="88"/>
      <c r="G332" s="87"/>
    </row>
    <row r="333" spans="1:7" s="61" customFormat="1" ht="24">
      <c r="A333" s="85"/>
      <c r="B333" s="85"/>
      <c r="C333" s="86"/>
      <c r="D333" s="87"/>
      <c r="E333" s="86"/>
      <c r="F333" s="88"/>
      <c r="G333" s="87"/>
    </row>
    <row r="334" spans="1:7" s="61" customFormat="1" ht="24">
      <c r="A334" s="85"/>
      <c r="B334" s="86"/>
      <c r="C334" s="86"/>
      <c r="D334" s="87"/>
      <c r="E334" s="86"/>
      <c r="F334" s="88"/>
      <c r="G334" s="87"/>
    </row>
    <row r="335" spans="1:7" s="61" customFormat="1" ht="24">
      <c r="A335" s="85"/>
      <c r="B335" s="86"/>
      <c r="C335" s="86"/>
      <c r="D335" s="87"/>
      <c r="E335" s="86"/>
      <c r="F335" s="88"/>
      <c r="G335" s="87"/>
    </row>
    <row r="336" spans="4:7" s="61" customFormat="1" ht="24">
      <c r="D336" s="60"/>
      <c r="F336" s="89"/>
      <c r="G336" s="60"/>
    </row>
    <row r="337" spans="1:7" s="74" customFormat="1" ht="24">
      <c r="A337" s="81" t="s">
        <v>181</v>
      </c>
      <c r="D337" s="76"/>
      <c r="F337" s="75"/>
      <c r="G337" s="76"/>
    </row>
    <row r="338" spans="1:7" s="82" customFormat="1" ht="24">
      <c r="A338" s="82" t="s">
        <v>84</v>
      </c>
      <c r="B338" s="82" t="s">
        <v>85</v>
      </c>
      <c r="D338" s="83" t="s">
        <v>83</v>
      </c>
      <c r="F338" s="84"/>
      <c r="G338" s="83"/>
    </row>
    <row r="339" spans="1:7" s="61" customFormat="1" ht="24">
      <c r="A339" s="85"/>
      <c r="B339" s="90"/>
      <c r="C339" s="86"/>
      <c r="D339" s="87"/>
      <c r="E339" s="86"/>
      <c r="F339" s="88"/>
      <c r="G339" s="87">
        <f>SUM(D339:D345)</f>
        <v>265709.87</v>
      </c>
    </row>
    <row r="340" spans="1:7" s="61" customFormat="1" ht="24">
      <c r="A340" s="85" t="s">
        <v>174</v>
      </c>
      <c r="B340" s="90"/>
      <c r="C340" s="86"/>
      <c r="D340" s="87">
        <v>265709.87</v>
      </c>
      <c r="E340" s="86"/>
      <c r="F340" s="88"/>
      <c r="G340" s="87"/>
    </row>
    <row r="341" spans="1:7" s="61" customFormat="1" ht="24">
      <c r="A341" s="85"/>
      <c r="B341" s="90"/>
      <c r="C341" s="86"/>
      <c r="D341" s="87"/>
      <c r="E341" s="86"/>
      <c r="F341" s="88"/>
      <c r="G341" s="87"/>
    </row>
    <row r="342" spans="1:7" s="61" customFormat="1" ht="24">
      <c r="A342" s="85" t="s">
        <v>97</v>
      </c>
      <c r="B342" s="90" t="s">
        <v>97</v>
      </c>
      <c r="C342" s="86" t="s">
        <v>97</v>
      </c>
      <c r="D342" s="87" t="s">
        <v>97</v>
      </c>
      <c r="E342" s="86"/>
      <c r="F342" s="88"/>
      <c r="G342" s="87"/>
    </row>
    <row r="343" spans="1:7" s="61" customFormat="1" ht="24">
      <c r="A343" s="85"/>
      <c r="B343" s="90"/>
      <c r="C343" s="86"/>
      <c r="D343" s="87"/>
      <c r="E343" s="86"/>
      <c r="F343" s="88"/>
      <c r="G343" s="87"/>
    </row>
    <row r="344" spans="1:7" s="61" customFormat="1" ht="24">
      <c r="A344" s="85"/>
      <c r="B344" s="90"/>
      <c r="C344" s="86"/>
      <c r="D344" s="87"/>
      <c r="E344" s="86"/>
      <c r="F344" s="88"/>
      <c r="G344" s="87"/>
    </row>
    <row r="345" spans="1:7" s="61" customFormat="1" ht="24">
      <c r="A345" s="85"/>
      <c r="B345" s="90"/>
      <c r="C345" s="86"/>
      <c r="D345" s="87"/>
      <c r="E345" s="86"/>
      <c r="F345" s="88"/>
      <c r="G345" s="87"/>
    </row>
    <row r="346" spans="1:7" s="74" customFormat="1" ht="24">
      <c r="A346" s="81" t="s">
        <v>182</v>
      </c>
      <c r="D346" s="76"/>
      <c r="F346" s="75"/>
      <c r="G346" s="76"/>
    </row>
    <row r="347" spans="1:7" s="74" customFormat="1" ht="24">
      <c r="A347" s="81" t="s">
        <v>86</v>
      </c>
      <c r="D347" s="76"/>
      <c r="F347" s="75"/>
      <c r="G347" s="76"/>
    </row>
    <row r="348" spans="1:7" s="61" customFormat="1" ht="24">
      <c r="A348" s="86" t="s">
        <v>97</v>
      </c>
      <c r="B348" s="86"/>
      <c r="C348" s="86"/>
      <c r="D348" s="87">
        <v>308800</v>
      </c>
      <c r="E348" s="86"/>
      <c r="F348" s="88"/>
      <c r="G348" s="87">
        <v>308800</v>
      </c>
    </row>
    <row r="349" spans="1:7" s="61" customFormat="1" ht="24">
      <c r="A349" s="86" t="s">
        <v>97</v>
      </c>
      <c r="B349" s="86"/>
      <c r="C349" s="86"/>
      <c r="D349" s="87" t="s">
        <v>97</v>
      </c>
      <c r="E349" s="86"/>
      <c r="F349" s="88"/>
      <c r="G349" s="87" t="s">
        <v>97</v>
      </c>
    </row>
    <row r="350" spans="1:7" s="61" customFormat="1" ht="24">
      <c r="A350" s="86"/>
      <c r="B350" s="86"/>
      <c r="C350" s="86"/>
      <c r="D350" s="87"/>
      <c r="E350" s="86"/>
      <c r="F350" s="88"/>
      <c r="G350" s="87"/>
    </row>
    <row r="351" spans="1:7" s="74" customFormat="1" ht="24">
      <c r="A351" s="74" t="s">
        <v>164</v>
      </c>
      <c r="D351" s="76"/>
      <c r="F351" s="78"/>
      <c r="G351" s="76">
        <f>SUM(G328+G339+G348)</f>
        <v>12976252.069999998</v>
      </c>
    </row>
    <row r="352" spans="1:7" s="61" customFormat="1" ht="24">
      <c r="A352" s="91" t="s">
        <v>87</v>
      </c>
      <c r="B352" s="91"/>
      <c r="C352" s="91"/>
      <c r="D352" s="92" t="s">
        <v>88</v>
      </c>
      <c r="E352" s="91"/>
      <c r="F352" s="91"/>
      <c r="G352" s="93"/>
    </row>
    <row r="353" spans="4:7" s="61" customFormat="1" ht="24">
      <c r="D353" s="94"/>
      <c r="G353" s="60"/>
    </row>
    <row r="354" spans="1:7" s="61" customFormat="1" ht="24">
      <c r="A354" s="61" t="s">
        <v>165</v>
      </c>
      <c r="D354" s="94" t="s">
        <v>165</v>
      </c>
      <c r="G354" s="60"/>
    </row>
    <row r="355" spans="1:7" s="61" customFormat="1" ht="24">
      <c r="A355" s="61" t="s">
        <v>89</v>
      </c>
      <c r="D355" s="94" t="s">
        <v>90</v>
      </c>
      <c r="G355" s="60"/>
    </row>
  </sheetData>
  <sheetProtection/>
  <printOptions/>
  <pageMargins left="0.57" right="0.55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18" sqref="K18"/>
    </sheetView>
  </sheetViews>
  <sheetFormatPr defaultColWidth="9.140625" defaultRowHeight="23.25"/>
  <cols>
    <col min="4" max="4" width="9.8515625" style="0" customWidth="1"/>
    <col min="5" max="5" width="10.140625" style="0" customWidth="1"/>
  </cols>
  <sheetData>
    <row r="1" spans="1:10" ht="23.25">
      <c r="A1" s="100" t="s">
        <v>185</v>
      </c>
      <c r="J1">
        <v>204540</v>
      </c>
    </row>
    <row r="2" spans="1:10" ht="23.25">
      <c r="A2" s="100" t="s">
        <v>97</v>
      </c>
      <c r="D2" s="100" t="s">
        <v>186</v>
      </c>
      <c r="E2" s="100" t="s">
        <v>187</v>
      </c>
      <c r="F2" s="100" t="s">
        <v>193</v>
      </c>
      <c r="H2" s="100" t="s">
        <v>189</v>
      </c>
      <c r="J2" s="100" t="s">
        <v>97</v>
      </c>
    </row>
    <row r="3" spans="1:8" ht="23.25">
      <c r="A3" s="100" t="s">
        <v>188</v>
      </c>
      <c r="D3">
        <v>47720</v>
      </c>
      <c r="E3">
        <v>6440</v>
      </c>
      <c r="H3">
        <v>41280</v>
      </c>
    </row>
    <row r="4" spans="1:8" ht="23.25">
      <c r="A4" s="100" t="s">
        <v>190</v>
      </c>
      <c r="D4">
        <v>6880</v>
      </c>
      <c r="E4">
        <v>40</v>
      </c>
      <c r="H4">
        <v>6840</v>
      </c>
    </row>
    <row r="5" spans="1:10" ht="23.25">
      <c r="A5" s="100" t="s">
        <v>191</v>
      </c>
      <c r="D5">
        <v>157270</v>
      </c>
      <c r="E5">
        <v>810</v>
      </c>
      <c r="F5">
        <v>6880</v>
      </c>
      <c r="G5" s="100" t="s">
        <v>192</v>
      </c>
      <c r="H5">
        <v>149580</v>
      </c>
      <c r="J5">
        <f>SUM(H3:H5)</f>
        <v>197700</v>
      </c>
    </row>
    <row r="6" ht="23.25">
      <c r="H6" s="10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A1" sqref="A1:IV16384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19.14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306</v>
      </c>
    </row>
    <row r="4" ht="24">
      <c r="C4" s="39" t="s">
        <v>71</v>
      </c>
    </row>
    <row r="5" ht="24" customHeight="1" thickBot="1">
      <c r="E5" s="32" t="s">
        <v>328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22494491.76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v>0</v>
      </c>
      <c r="C11" s="41" t="s">
        <v>1</v>
      </c>
      <c r="D11" s="42">
        <f>G13</f>
        <v>0</v>
      </c>
      <c r="E11" s="171">
        <v>0</v>
      </c>
      <c r="F11" s="17"/>
    </row>
    <row r="12" spans="1:6" ht="24">
      <c r="A12" s="171">
        <v>90900</v>
      </c>
      <c r="B12" s="171">
        <f>6359</f>
        <v>6359</v>
      </c>
      <c r="C12" s="41" t="s">
        <v>53</v>
      </c>
      <c r="D12" s="42">
        <v>120</v>
      </c>
      <c r="E12" s="171">
        <v>6359</v>
      </c>
      <c r="F12" s="17" t="s">
        <v>326</v>
      </c>
    </row>
    <row r="13" spans="1:6" ht="24">
      <c r="A13" s="171">
        <v>105180</v>
      </c>
      <c r="B13" s="171">
        <v>0</v>
      </c>
      <c r="C13" s="41" t="s">
        <v>2</v>
      </c>
      <c r="D13" s="42">
        <v>200</v>
      </c>
      <c r="E13" s="171">
        <v>0</v>
      </c>
      <c r="F13" s="17"/>
    </row>
    <row r="14" spans="1:6" ht="24">
      <c r="A14" s="171">
        <v>320000</v>
      </c>
      <c r="B14" s="171">
        <v>23929</v>
      </c>
      <c r="C14" s="41" t="s">
        <v>3</v>
      </c>
      <c r="D14" s="42">
        <v>253</v>
      </c>
      <c r="E14" s="171">
        <v>23929</v>
      </c>
      <c r="F14" s="17"/>
    </row>
    <row r="15" spans="1:8" ht="24">
      <c r="A15" s="171">
        <v>23000</v>
      </c>
      <c r="B15" s="171">
        <v>0</v>
      </c>
      <c r="C15" s="41" t="s">
        <v>4</v>
      </c>
      <c r="D15" s="42">
        <v>300</v>
      </c>
      <c r="E15" s="171">
        <v>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v>395264.4</v>
      </c>
      <c r="C17" s="41" t="s">
        <v>6</v>
      </c>
      <c r="D17" s="42">
        <v>1000</v>
      </c>
      <c r="E17" s="171">
        <v>395264.4</v>
      </c>
      <c r="F17" s="17"/>
    </row>
    <row r="18" spans="1:8" ht="24">
      <c r="A18" s="171">
        <v>12315400</v>
      </c>
      <c r="B18" s="171">
        <v>3378679</v>
      </c>
      <c r="C18" s="41" t="s">
        <v>271</v>
      </c>
      <c r="D18" s="42">
        <v>2000</v>
      </c>
      <c r="E18" s="171">
        <v>3378679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3804231.4</v>
      </c>
      <c r="C19" s="41"/>
      <c r="D19" s="42"/>
      <c r="E19" s="173">
        <f>SUM(E11:E18)</f>
        <v>3804231.4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</f>
        <v>1022.66</v>
      </c>
      <c r="C23" s="41" t="s">
        <v>7</v>
      </c>
      <c r="D23" s="174">
        <v>900</v>
      </c>
      <c r="E23" s="175">
        <v>1022.66</v>
      </c>
      <c r="F23" s="17"/>
      <c r="G23" s="101"/>
      <c r="H23" s="101"/>
    </row>
    <row r="24" spans="1:6" ht="24">
      <c r="A24" s="171"/>
      <c r="B24" s="171">
        <v>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1022.66</v>
      </c>
      <c r="C33" s="41"/>
      <c r="D33" s="42"/>
      <c r="E33" s="177">
        <f>SUM(E20:E32)</f>
        <v>1022.66</v>
      </c>
      <c r="F33" s="17"/>
    </row>
    <row r="34" spans="1:6" ht="24.75" thickBot="1">
      <c r="A34" s="173">
        <f>SUM(A33,A19)</f>
        <v>25500000</v>
      </c>
      <c r="B34" s="173">
        <f>SUM(B33,B19)</f>
        <v>3805254.06</v>
      </c>
      <c r="C34" s="41"/>
      <c r="D34" s="42"/>
      <c r="E34" s="173">
        <f>SUM(E33,E19)</f>
        <v>3805254.06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</f>
        <v>86136</v>
      </c>
      <c r="C41" s="41" t="s">
        <v>54</v>
      </c>
      <c r="D41" s="182" t="s">
        <v>140</v>
      </c>
      <c r="E41" s="171">
        <f>86136</f>
        <v>86136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v>573220</v>
      </c>
      <c r="C42" s="41" t="s">
        <v>10</v>
      </c>
      <c r="D42" s="183">
        <v>5100</v>
      </c>
      <c r="E42" s="171">
        <f>573220</f>
        <v>573220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v>124110</v>
      </c>
      <c r="C43" s="41" t="s">
        <v>11</v>
      </c>
      <c r="D43" s="183">
        <v>5130</v>
      </c>
      <c r="E43" s="175">
        <v>124110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v>0</v>
      </c>
      <c r="C44" s="41" t="s">
        <v>12</v>
      </c>
      <c r="D44" s="183">
        <v>5200</v>
      </c>
      <c r="E44" s="171">
        <v>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v>0</v>
      </c>
      <c r="C45" s="41" t="s">
        <v>13</v>
      </c>
      <c r="D45" s="183">
        <v>5250</v>
      </c>
      <c r="E45" s="171">
        <v>0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v>0</v>
      </c>
      <c r="C46" s="41" t="s">
        <v>14</v>
      </c>
      <c r="D46" s="183">
        <v>5270</v>
      </c>
      <c r="E46" s="175">
        <v>0</v>
      </c>
      <c r="F46" s="23"/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v>0</v>
      </c>
      <c r="C47" s="41" t="s">
        <v>15</v>
      </c>
      <c r="D47" s="183">
        <v>5300</v>
      </c>
      <c r="E47" s="175">
        <v>0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v>0</v>
      </c>
      <c r="C48" s="41" t="s">
        <v>16</v>
      </c>
      <c r="D48" s="183">
        <v>5400</v>
      </c>
      <c r="E48" s="175">
        <v>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783466</v>
      </c>
      <c r="C52" s="41"/>
      <c r="D52" s="183"/>
      <c r="E52" s="173">
        <f>SUM(E41:E51)</f>
        <v>783466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v>365800</v>
      </c>
      <c r="C54" s="41" t="s">
        <v>298</v>
      </c>
      <c r="D54" s="183">
        <v>7400</v>
      </c>
      <c r="E54" s="171">
        <f>365800</f>
        <v>365800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v>7800</v>
      </c>
      <c r="C56" s="41" t="s">
        <v>56</v>
      </c>
      <c r="D56" s="174">
        <v>90</v>
      </c>
      <c r="E56" s="171">
        <v>7800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307</v>
      </c>
      <c r="D60" s="183">
        <v>602</v>
      </c>
      <c r="E60" s="171">
        <v>0</v>
      </c>
      <c r="F60" s="17"/>
    </row>
    <row r="61" spans="1:6" ht="18" customHeight="1">
      <c r="A61" s="171"/>
      <c r="B61" s="171">
        <v>0</v>
      </c>
      <c r="C61" s="41" t="s">
        <v>55</v>
      </c>
      <c r="D61" s="183">
        <v>700</v>
      </c>
      <c r="E61" s="171">
        <v>0</v>
      </c>
      <c r="F61" s="17"/>
    </row>
    <row r="62" spans="1:6" ht="18" customHeight="1">
      <c r="A62" s="171"/>
      <c r="B62" s="171">
        <v>906415.28</v>
      </c>
      <c r="C62" s="41" t="s">
        <v>76</v>
      </c>
      <c r="D62" s="183">
        <v>900</v>
      </c>
      <c r="E62" s="171">
        <v>906415.28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1280015.28</v>
      </c>
      <c r="C64" s="41"/>
      <c r="D64" s="183"/>
      <c r="E64" s="177">
        <f>SUM(E53:E62)</f>
        <v>1280015.28</v>
      </c>
      <c r="F64" s="17"/>
    </row>
    <row r="65" spans="1:7" ht="18" customHeight="1">
      <c r="A65" s="171"/>
      <c r="B65" s="177">
        <f>SUM(B64,B52)</f>
        <v>2063481.28</v>
      </c>
      <c r="C65" s="183" t="s">
        <v>59</v>
      </c>
      <c r="D65" s="183"/>
      <c r="E65" s="177">
        <f>SUM(E64,E52)</f>
        <v>2063481.28</v>
      </c>
      <c r="F65" s="17"/>
      <c r="G65" s="17"/>
    </row>
    <row r="66" spans="1:7" ht="18" customHeight="1">
      <c r="A66" s="171"/>
      <c r="B66" s="171">
        <f>B34-B65</f>
        <v>1741772.78</v>
      </c>
      <c r="C66" s="183" t="s">
        <v>19</v>
      </c>
      <c r="D66" s="183"/>
      <c r="E66" s="171">
        <f>E34-E65</f>
        <v>1741772.78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24236264.540000003</v>
      </c>
      <c r="D69" s="183"/>
      <c r="E69" s="173">
        <f>E9+E66</f>
        <v>24236264.540000003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302</v>
      </c>
      <c r="B74" s="35"/>
      <c r="C74" s="35"/>
      <c r="D74" s="158"/>
      <c r="E74" s="158"/>
      <c r="F74" s="158"/>
    </row>
    <row r="75" spans="1:6" s="159" customFormat="1" ht="24">
      <c r="A75" s="187" t="s">
        <v>303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3" right="0.2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G33" sqref="G33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19.14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331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24236264.54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v>0</v>
      </c>
      <c r="C11" s="41" t="s">
        <v>1</v>
      </c>
      <c r="D11" s="42">
        <f>G13</f>
        <v>0</v>
      </c>
      <c r="E11" s="171">
        <v>0</v>
      </c>
      <c r="F11" s="17"/>
    </row>
    <row r="12" spans="1:6" ht="24">
      <c r="A12" s="171">
        <v>90900</v>
      </c>
      <c r="B12" s="171">
        <f>6359+6062</f>
        <v>12421</v>
      </c>
      <c r="C12" s="41" t="s">
        <v>53</v>
      </c>
      <c r="D12" s="42">
        <v>120</v>
      </c>
      <c r="E12" s="171">
        <v>6062</v>
      </c>
      <c r="F12" s="17" t="s">
        <v>326</v>
      </c>
    </row>
    <row r="13" spans="1:6" ht="24">
      <c r="A13" s="171">
        <v>105180</v>
      </c>
      <c r="B13" s="171">
        <v>0</v>
      </c>
      <c r="C13" s="41" t="s">
        <v>2</v>
      </c>
      <c r="D13" s="42">
        <v>200</v>
      </c>
      <c r="E13" s="171">
        <v>0</v>
      </c>
      <c r="F13" s="17"/>
    </row>
    <row r="14" spans="1:6" ht="24">
      <c r="A14" s="171">
        <v>320000</v>
      </c>
      <c r="B14" s="171">
        <f>23929+26896</f>
        <v>50825</v>
      </c>
      <c r="C14" s="41" t="s">
        <v>3</v>
      </c>
      <c r="D14" s="42">
        <v>253</v>
      </c>
      <c r="E14" s="171">
        <v>26896</v>
      </c>
      <c r="F14" s="17"/>
    </row>
    <row r="15" spans="1:8" ht="24">
      <c r="A15" s="171">
        <v>23000</v>
      </c>
      <c r="B15" s="171">
        <f>470</f>
        <v>470</v>
      </c>
      <c r="C15" s="41" t="s">
        <v>4</v>
      </c>
      <c r="D15" s="42">
        <v>300</v>
      </c>
      <c r="E15" s="171">
        <v>470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</f>
        <v>642934.2</v>
      </c>
      <c r="C17" s="41" t="s">
        <v>6</v>
      </c>
      <c r="D17" s="42">
        <v>1000</v>
      </c>
      <c r="E17" s="171">
        <f>54656.71+8359.29+47070.55+116060.25+21523</f>
        <v>247669.8</v>
      </c>
      <c r="F17" s="17"/>
    </row>
    <row r="18" spans="1:8" ht="24">
      <c r="A18" s="171">
        <v>12315400</v>
      </c>
      <c r="B18" s="171">
        <v>3378679</v>
      </c>
      <c r="C18" s="41" t="s">
        <v>271</v>
      </c>
      <c r="D18" s="42">
        <v>2000</v>
      </c>
      <c r="E18" s="171">
        <v>0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4085329.2</v>
      </c>
      <c r="C19" s="41"/>
      <c r="D19" s="42"/>
      <c r="E19" s="173">
        <f>SUM(E11:E18)</f>
        <v>281097.8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</f>
        <v>7565.639999999999</v>
      </c>
      <c r="C23" s="41" t="s">
        <v>7</v>
      </c>
      <c r="D23" s="174">
        <v>900</v>
      </c>
      <c r="E23" s="175">
        <v>6542.98</v>
      </c>
      <c r="F23" s="17"/>
      <c r="G23" s="101"/>
      <c r="H23" s="101"/>
    </row>
    <row r="24" spans="1:6" ht="24">
      <c r="A24" s="171"/>
      <c r="B24" s="171">
        <v>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7565.639999999999</v>
      </c>
      <c r="C33" s="41"/>
      <c r="D33" s="42"/>
      <c r="E33" s="177">
        <f>SUM(E20:E32)</f>
        <v>6542.98</v>
      </c>
      <c r="F33" s="17"/>
    </row>
    <row r="34" spans="1:6" ht="24.75" thickBot="1">
      <c r="A34" s="173">
        <f>SUM(A33,A19)</f>
        <v>25500000</v>
      </c>
      <c r="B34" s="173">
        <f>SUM(B33,B19)</f>
        <v>4092894.8400000003</v>
      </c>
      <c r="C34" s="41"/>
      <c r="D34" s="42"/>
      <c r="E34" s="173">
        <f>SUM(E33,E19)</f>
        <v>287640.77999999997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</f>
        <v>525271</v>
      </c>
      <c r="C41" s="41" t="s">
        <v>54</v>
      </c>
      <c r="D41" s="182" t="s">
        <v>140</v>
      </c>
      <c r="E41" s="171">
        <v>439135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</f>
        <v>1153810</v>
      </c>
      <c r="C42" s="41" t="s">
        <v>10</v>
      </c>
      <c r="D42" s="183">
        <v>5100</v>
      </c>
      <c r="E42" s="171">
        <v>580590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</f>
        <v>249080</v>
      </c>
      <c r="C43" s="41" t="s">
        <v>11</v>
      </c>
      <c r="D43" s="183">
        <v>5130</v>
      </c>
      <c r="E43" s="175">
        <v>124970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</f>
        <v>25300</v>
      </c>
      <c r="C44" s="41" t="s">
        <v>12</v>
      </c>
      <c r="D44" s="183">
        <v>5200</v>
      </c>
      <c r="E44" s="171">
        <v>25300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</f>
        <v>48980</v>
      </c>
      <c r="C45" s="41" t="s">
        <v>13</v>
      </c>
      <c r="D45" s="183">
        <v>5250</v>
      </c>
      <c r="E45" s="171">
        <v>48980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</f>
        <v>150210.18</v>
      </c>
      <c r="C46" s="41" t="s">
        <v>14</v>
      </c>
      <c r="D46" s="183">
        <v>5270</v>
      </c>
      <c r="E46" s="175">
        <v>150210.18</v>
      </c>
      <c r="F46" s="23"/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</f>
        <v>22080.65</v>
      </c>
      <c r="C47" s="41" t="s">
        <v>15</v>
      </c>
      <c r="D47" s="183">
        <v>5300</v>
      </c>
      <c r="E47" s="175">
        <v>22080.65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</f>
        <v>436000</v>
      </c>
      <c r="C48" s="41" t="s">
        <v>16</v>
      </c>
      <c r="D48" s="183">
        <v>5400</v>
      </c>
      <c r="E48" s="175">
        <v>436000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2610731.83</v>
      </c>
      <c r="C52" s="41"/>
      <c r="D52" s="183"/>
      <c r="E52" s="173">
        <f>SUM(E41:E51)</f>
        <v>1827265.8299999998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</f>
        <v>808300</v>
      </c>
      <c r="C54" s="41" t="s">
        <v>298</v>
      </c>
      <c r="D54" s="183">
        <v>7400</v>
      </c>
      <c r="E54" s="171">
        <v>442500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</f>
        <v>21600</v>
      </c>
      <c r="C56" s="41" t="s">
        <v>56</v>
      </c>
      <c r="D56" s="174">
        <v>90</v>
      </c>
      <c r="E56" s="171">
        <v>13800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307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</f>
        <v>252795</v>
      </c>
      <c r="C61" s="41" t="s">
        <v>55</v>
      </c>
      <c r="D61" s="183">
        <v>700</v>
      </c>
      <c r="E61" s="171">
        <v>252795</v>
      </c>
      <c r="F61" s="17"/>
    </row>
    <row r="62" spans="1:6" ht="18" customHeight="1">
      <c r="A62" s="171"/>
      <c r="B62" s="171">
        <f>906415.28+59997.66</f>
        <v>966412.9400000001</v>
      </c>
      <c r="C62" s="41" t="s">
        <v>76</v>
      </c>
      <c r="D62" s="183">
        <v>900</v>
      </c>
      <c r="E62" s="171">
        <v>59997.66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2049107.94</v>
      </c>
      <c r="C64" s="41"/>
      <c r="D64" s="183"/>
      <c r="E64" s="177">
        <f>SUM(E53:E62)</f>
        <v>769092.66</v>
      </c>
      <c r="F64" s="17"/>
    </row>
    <row r="65" spans="1:7" ht="18" customHeight="1">
      <c r="A65" s="171"/>
      <c r="B65" s="177">
        <f>SUM(B64,B52)</f>
        <v>4659839.77</v>
      </c>
      <c r="C65" s="183" t="s">
        <v>59</v>
      </c>
      <c r="D65" s="183"/>
      <c r="E65" s="177">
        <f>SUM(E64,E52)</f>
        <v>2596358.4899999998</v>
      </c>
      <c r="F65" s="17"/>
      <c r="G65" s="17"/>
    </row>
    <row r="66" spans="1:7" ht="18" customHeight="1">
      <c r="A66" s="171"/>
      <c r="B66" s="171">
        <f>B34-B65</f>
        <v>-566944.9299999992</v>
      </c>
      <c r="C66" s="183" t="s">
        <v>19</v>
      </c>
      <c r="D66" s="183"/>
      <c r="E66" s="171">
        <f>E34-E65</f>
        <v>-2308717.71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21927546.830000002</v>
      </c>
      <c r="D69" s="183"/>
      <c r="E69" s="173">
        <f>E9+E66</f>
        <v>21927546.83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302</v>
      </c>
      <c r="B74" s="35"/>
      <c r="C74" s="35"/>
      <c r="D74" s="158"/>
      <c r="E74" s="158"/>
      <c r="F74" s="158"/>
    </row>
    <row r="75" spans="1:6" s="159" customFormat="1" ht="24">
      <c r="A75" s="187" t="s">
        <v>303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32" right="0.2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A1" sqref="A1:IV16384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19.14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332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21927546.83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v>150</v>
      </c>
      <c r="C11" s="41" t="s">
        <v>1</v>
      </c>
      <c r="D11" s="42">
        <f>G13</f>
        <v>0</v>
      </c>
      <c r="E11" s="171">
        <v>150</v>
      </c>
      <c r="F11" s="17"/>
    </row>
    <row r="12" spans="1:6" ht="24">
      <c r="A12" s="171">
        <v>90900</v>
      </c>
      <c r="B12" s="171">
        <f>6359+6062+5960</f>
        <v>18381</v>
      </c>
      <c r="C12" s="41" t="s">
        <v>53</v>
      </c>
      <c r="D12" s="42">
        <v>120</v>
      </c>
      <c r="E12" s="171">
        <v>5960</v>
      </c>
      <c r="F12" s="17" t="s">
        <v>326</v>
      </c>
    </row>
    <row r="13" spans="1:6" ht="24">
      <c r="A13" s="171">
        <v>105180</v>
      </c>
      <c r="B13" s="171">
        <v>0</v>
      </c>
      <c r="C13" s="41" t="s">
        <v>2</v>
      </c>
      <c r="D13" s="42">
        <v>200</v>
      </c>
      <c r="E13" s="171">
        <v>0</v>
      </c>
      <c r="F13" s="17"/>
    </row>
    <row r="14" spans="1:6" ht="24">
      <c r="A14" s="171">
        <v>320000</v>
      </c>
      <c r="B14" s="171">
        <f>23929+26896+29051</f>
        <v>79876</v>
      </c>
      <c r="C14" s="41" t="s">
        <v>3</v>
      </c>
      <c r="D14" s="42">
        <v>253</v>
      </c>
      <c r="E14" s="171">
        <v>29051</v>
      </c>
      <c r="F14" s="17"/>
    </row>
    <row r="15" spans="1:8" ht="24">
      <c r="A15" s="171">
        <v>23000</v>
      </c>
      <c r="B15" s="171">
        <f>470+5490</f>
        <v>5960</v>
      </c>
      <c r="C15" s="41" t="s">
        <v>4</v>
      </c>
      <c r="D15" s="42">
        <v>300</v>
      </c>
      <c r="E15" s="171">
        <v>5490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</f>
        <v>977035.58</v>
      </c>
      <c r="C17" s="41" t="s">
        <v>6</v>
      </c>
      <c r="D17" s="42">
        <v>1000</v>
      </c>
      <c r="E17" s="171">
        <v>334101.38</v>
      </c>
      <c r="F17" s="17"/>
    </row>
    <row r="18" spans="1:8" ht="24">
      <c r="A18" s="171">
        <v>12315400</v>
      </c>
      <c r="B18" s="171">
        <v>3378679</v>
      </c>
      <c r="C18" s="41" t="s">
        <v>271</v>
      </c>
      <c r="D18" s="42">
        <v>2000</v>
      </c>
      <c r="E18" s="171">
        <v>0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4460081.58</v>
      </c>
      <c r="C19" s="41"/>
      <c r="D19" s="42"/>
      <c r="E19" s="173">
        <f>SUM(E11:E18)</f>
        <v>374752.38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</f>
        <v>8302.47</v>
      </c>
      <c r="C23" s="41" t="s">
        <v>7</v>
      </c>
      <c r="D23" s="174">
        <v>900</v>
      </c>
      <c r="E23" s="175">
        <v>736.83</v>
      </c>
      <c r="F23" s="17"/>
      <c r="G23" s="101"/>
      <c r="H23" s="101"/>
    </row>
    <row r="24" spans="1:6" ht="24">
      <c r="A24" s="171"/>
      <c r="B24" s="171">
        <v>5940</v>
      </c>
      <c r="C24" s="41" t="s">
        <v>22</v>
      </c>
      <c r="D24" s="174">
        <v>700</v>
      </c>
      <c r="E24" s="171">
        <v>5940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800</v>
      </c>
      <c r="C28" s="41" t="s">
        <v>144</v>
      </c>
      <c r="D28" s="42"/>
      <c r="E28" s="171">
        <v>800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15042.47</v>
      </c>
      <c r="C33" s="41"/>
      <c r="D33" s="42"/>
      <c r="E33" s="177">
        <f>SUM(E20:E32)</f>
        <v>7476.83</v>
      </c>
      <c r="F33" s="17"/>
    </row>
    <row r="34" spans="1:6" ht="24.75" thickBot="1">
      <c r="A34" s="173">
        <f>SUM(A33,A19)</f>
        <v>25500000</v>
      </c>
      <c r="B34" s="173">
        <f>SUM(B33,B19)</f>
        <v>4475124.05</v>
      </c>
      <c r="C34" s="41"/>
      <c r="D34" s="42"/>
      <c r="E34" s="173">
        <f>SUM(E33,E19)</f>
        <v>382229.21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</f>
        <v>567198</v>
      </c>
      <c r="C41" s="41" t="s">
        <v>54</v>
      </c>
      <c r="D41" s="182" t="s">
        <v>140</v>
      </c>
      <c r="E41" s="171">
        <v>41927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</f>
        <v>1717750</v>
      </c>
      <c r="C42" s="41" t="s">
        <v>10</v>
      </c>
      <c r="D42" s="183">
        <v>5100</v>
      </c>
      <c r="E42" s="171">
        <v>563940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</f>
        <v>373620</v>
      </c>
      <c r="C43" s="41" t="s">
        <v>11</v>
      </c>
      <c r="D43" s="183">
        <v>5130</v>
      </c>
      <c r="E43" s="175">
        <v>124540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</f>
        <v>40700</v>
      </c>
      <c r="C44" s="41" t="s">
        <v>12</v>
      </c>
      <c r="D44" s="183">
        <v>5200</v>
      </c>
      <c r="E44" s="171">
        <v>15400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</f>
        <v>59490.51</v>
      </c>
      <c r="C45" s="41" t="s">
        <v>13</v>
      </c>
      <c r="D45" s="183">
        <v>5250</v>
      </c>
      <c r="E45" s="171">
        <v>10510.51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</f>
        <v>318365.45999999996</v>
      </c>
      <c r="C46" s="41" t="s">
        <v>14</v>
      </c>
      <c r="D46" s="183">
        <v>5270</v>
      </c>
      <c r="E46" s="175">
        <v>168155.28</v>
      </c>
      <c r="F46" s="23">
        <v>0</v>
      </c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</f>
        <v>47442.93</v>
      </c>
      <c r="C47" s="41" t="s">
        <v>15</v>
      </c>
      <c r="D47" s="183">
        <v>5300</v>
      </c>
      <c r="E47" s="175">
        <v>25362.28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</f>
        <v>539700</v>
      </c>
      <c r="C48" s="41" t="s">
        <v>16</v>
      </c>
      <c r="D48" s="183">
        <v>5400</v>
      </c>
      <c r="E48" s="175">
        <v>103700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3664266.9</v>
      </c>
      <c r="C52" s="41"/>
      <c r="D52" s="183"/>
      <c r="E52" s="173">
        <f>SUM(E41:E51)</f>
        <v>1053535.07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</f>
        <v>1193100</v>
      </c>
      <c r="C54" s="41" t="s">
        <v>298</v>
      </c>
      <c r="D54" s="183">
        <v>7400</v>
      </c>
      <c r="E54" s="171">
        <v>384800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</f>
        <v>68800</v>
      </c>
      <c r="C56" s="41" t="s">
        <v>56</v>
      </c>
      <c r="D56" s="174">
        <v>90</v>
      </c>
      <c r="E56" s="171">
        <v>47200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307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</f>
        <v>252795</v>
      </c>
      <c r="C61" s="41" t="s">
        <v>55</v>
      </c>
      <c r="D61" s="183">
        <v>700</v>
      </c>
      <c r="E61" s="171">
        <v>0</v>
      </c>
      <c r="F61" s="17"/>
    </row>
    <row r="62" spans="1:6" ht="18" customHeight="1">
      <c r="A62" s="171"/>
      <c r="B62" s="171">
        <f>906415.28+59997.66+6542.98</f>
        <v>972955.92</v>
      </c>
      <c r="C62" s="41" t="s">
        <v>76</v>
      </c>
      <c r="D62" s="183">
        <v>900</v>
      </c>
      <c r="E62" s="171">
        <v>6542.98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2487650.92</v>
      </c>
      <c r="C64" s="41"/>
      <c r="D64" s="183"/>
      <c r="E64" s="177">
        <f>SUM(E53:E62)</f>
        <v>438542.98</v>
      </c>
      <c r="F64" s="17"/>
    </row>
    <row r="65" spans="1:7" ht="18" customHeight="1">
      <c r="A65" s="171"/>
      <c r="B65" s="177">
        <f>SUM(B64,B52)</f>
        <v>6151917.82</v>
      </c>
      <c r="C65" s="183" t="s">
        <v>59</v>
      </c>
      <c r="D65" s="183"/>
      <c r="E65" s="177">
        <f>SUM(E64,E52)</f>
        <v>1492078.05</v>
      </c>
      <c r="F65" s="17"/>
      <c r="G65" s="17"/>
    </row>
    <row r="66" spans="1:7" ht="18" customHeight="1">
      <c r="A66" s="171"/>
      <c r="B66" s="171">
        <f>B34-B65</f>
        <v>-1676793.7700000005</v>
      </c>
      <c r="C66" s="183" t="s">
        <v>19</v>
      </c>
      <c r="D66" s="183"/>
      <c r="E66" s="171">
        <f>E34-E65</f>
        <v>-1109848.84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20817697.990000002</v>
      </c>
      <c r="D69" s="183"/>
      <c r="E69" s="173">
        <f>E9+E66</f>
        <v>20817697.99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334</v>
      </c>
      <c r="B74" s="35"/>
      <c r="C74" s="35"/>
      <c r="D74" s="158"/>
      <c r="E74" s="158"/>
      <c r="F74" s="158"/>
    </row>
    <row r="75" spans="1:6" s="159" customFormat="1" ht="24">
      <c r="A75" s="187" t="s">
        <v>333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28" right="0.35" top="0.75" bottom="0.75" header="0.44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3">
      <selection activeCell="A1" sqref="A1:IV16384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19.14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335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20817697.99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f>150+13912.08</f>
        <v>14062.08</v>
      </c>
      <c r="C11" s="41" t="s">
        <v>1</v>
      </c>
      <c r="D11" s="42">
        <f>G13</f>
        <v>0</v>
      </c>
      <c r="E11" s="171">
        <v>13912.08</v>
      </c>
      <c r="F11" s="17"/>
    </row>
    <row r="12" spans="1:6" ht="24">
      <c r="A12" s="171">
        <v>90900</v>
      </c>
      <c r="B12" s="171">
        <f>6359+6062+5960+7460</f>
        <v>25841</v>
      </c>
      <c r="C12" s="41" t="s">
        <v>53</v>
      </c>
      <c r="D12" s="42">
        <v>120</v>
      </c>
      <c r="E12" s="171">
        <v>7460</v>
      </c>
      <c r="F12" s="17" t="s">
        <v>326</v>
      </c>
    </row>
    <row r="13" spans="1:6" ht="24">
      <c r="A13" s="171">
        <v>105180</v>
      </c>
      <c r="B13" s="171">
        <v>19928.01</v>
      </c>
      <c r="C13" s="41" t="s">
        <v>2</v>
      </c>
      <c r="D13" s="42">
        <v>200</v>
      </c>
      <c r="E13" s="171">
        <v>19928.01</v>
      </c>
      <c r="F13" s="17"/>
    </row>
    <row r="14" spans="1:6" ht="24">
      <c r="A14" s="171">
        <v>320000</v>
      </c>
      <c r="B14" s="171">
        <f>23929+26896+29051+33017</f>
        <v>112893</v>
      </c>
      <c r="C14" s="41" t="s">
        <v>3</v>
      </c>
      <c r="D14" s="42">
        <v>253</v>
      </c>
      <c r="E14" s="171">
        <v>33017</v>
      </c>
      <c r="F14" s="17"/>
    </row>
    <row r="15" spans="1:8" ht="24">
      <c r="A15" s="171">
        <v>23000</v>
      </c>
      <c r="B15" s="171">
        <f>470+5490+1410</f>
        <v>7370</v>
      </c>
      <c r="C15" s="41" t="s">
        <v>4</v>
      </c>
      <c r="D15" s="42">
        <v>300</v>
      </c>
      <c r="E15" s="171">
        <v>1410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395264.4+247669.8+334101.38+2537655.66</f>
        <v>3514691.24</v>
      </c>
      <c r="C17" s="41" t="s">
        <v>6</v>
      </c>
      <c r="D17" s="42">
        <v>1000</v>
      </c>
      <c r="E17" s="171">
        <v>2537655.66</v>
      </c>
      <c r="F17" s="17"/>
    </row>
    <row r="18" spans="1:8" ht="24">
      <c r="A18" s="171">
        <v>12315400</v>
      </c>
      <c r="B18" s="171">
        <f>3378679+3224538</f>
        <v>6603217</v>
      </c>
      <c r="C18" s="41" t="s">
        <v>271</v>
      </c>
      <c r="D18" s="42">
        <v>2000</v>
      </c>
      <c r="E18" s="171">
        <v>3224538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10298002.33</v>
      </c>
      <c r="C19" s="41"/>
      <c r="D19" s="42"/>
      <c r="E19" s="173">
        <f>SUM(E11:E18)</f>
        <v>5837920.75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1022.66+6542.98+736.83+27124.29</f>
        <v>35426.76</v>
      </c>
      <c r="C23" s="41" t="s">
        <v>7</v>
      </c>
      <c r="D23" s="174">
        <v>900</v>
      </c>
      <c r="E23" s="175">
        <v>27124.29</v>
      </c>
      <c r="F23" s="17"/>
      <c r="G23" s="101"/>
      <c r="H23" s="101"/>
    </row>
    <row r="24" spans="1:6" ht="24">
      <c r="A24" s="171"/>
      <c r="B24" s="171">
        <v>5940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800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42166.76</v>
      </c>
      <c r="C33" s="41"/>
      <c r="D33" s="42"/>
      <c r="E33" s="177">
        <f>SUM(E20:E32)</f>
        <v>27124.29</v>
      </c>
      <c r="F33" s="17"/>
    </row>
    <row r="34" spans="1:6" ht="24.75" thickBot="1">
      <c r="A34" s="173">
        <f>SUM(A33,A19)</f>
        <v>25500000</v>
      </c>
      <c r="B34" s="173">
        <f>SUM(B33,B19)</f>
        <v>10340169.09</v>
      </c>
      <c r="C34" s="41"/>
      <c r="D34" s="42"/>
      <c r="E34" s="173">
        <f>SUM(E33,E19)</f>
        <v>5865045.04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86136+439135+41927+6227</f>
        <v>573425</v>
      </c>
      <c r="C41" s="41" t="s">
        <v>54</v>
      </c>
      <c r="D41" s="182" t="s">
        <v>140</v>
      </c>
      <c r="E41" s="171">
        <v>6227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573220+580590+563940+514080</f>
        <v>2231830</v>
      </c>
      <c r="C42" s="41" t="s">
        <v>10</v>
      </c>
      <c r="D42" s="183">
        <v>5100</v>
      </c>
      <c r="E42" s="171">
        <v>514080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124110+124970+124540+124540</f>
        <v>498160</v>
      </c>
      <c r="C43" s="41" t="s">
        <v>11</v>
      </c>
      <c r="D43" s="183">
        <v>5130</v>
      </c>
      <c r="E43" s="175">
        <v>124540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25300+15400+11700</f>
        <v>52400</v>
      </c>
      <c r="C44" s="41" t="s">
        <v>12</v>
      </c>
      <c r="D44" s="183">
        <v>5200</v>
      </c>
      <c r="E44" s="171">
        <v>11700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48980+10510.51+53564.1</f>
        <v>113054.61</v>
      </c>
      <c r="C45" s="41" t="s">
        <v>13</v>
      </c>
      <c r="D45" s="183">
        <v>5250</v>
      </c>
      <c r="E45" s="171">
        <v>53564.1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150210.18+168155.28+107286</f>
        <v>425651.45999999996</v>
      </c>
      <c r="C46" s="41" t="s">
        <v>14</v>
      </c>
      <c r="D46" s="183">
        <v>5270</v>
      </c>
      <c r="E46" s="175">
        <v>107286</v>
      </c>
      <c r="F46" s="23">
        <v>0</v>
      </c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22080.65+25362.28+22766.68</f>
        <v>70209.61</v>
      </c>
      <c r="C47" s="41" t="s">
        <v>15</v>
      </c>
      <c r="D47" s="183">
        <v>5300</v>
      </c>
      <c r="E47" s="175">
        <v>22766.68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</f>
        <v>539700</v>
      </c>
      <c r="C48" s="41" t="s">
        <v>16</v>
      </c>
      <c r="D48" s="183">
        <v>5400</v>
      </c>
      <c r="E48" s="175">
        <v>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4504430.68</v>
      </c>
      <c r="C52" s="41"/>
      <c r="D52" s="183"/>
      <c r="E52" s="173">
        <f>SUM(E41:E51)</f>
        <v>840163.78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365800+442500+384800+394400</f>
        <v>1587500</v>
      </c>
      <c r="C54" s="41" t="s">
        <v>298</v>
      </c>
      <c r="D54" s="183">
        <v>7400</v>
      </c>
      <c r="E54" s="171">
        <v>394400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</f>
        <v>68800</v>
      </c>
      <c r="C56" s="41" t="s">
        <v>56</v>
      </c>
      <c r="D56" s="174">
        <v>90</v>
      </c>
      <c r="E56" s="171">
        <v>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336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252795+275472</f>
        <v>528267</v>
      </c>
      <c r="C61" s="41" t="s">
        <v>55</v>
      </c>
      <c r="D61" s="183">
        <v>700</v>
      </c>
      <c r="E61" s="171">
        <v>275472</v>
      </c>
      <c r="F61" s="17"/>
    </row>
    <row r="62" spans="1:6" ht="18" customHeight="1">
      <c r="A62" s="171"/>
      <c r="B62" s="171">
        <f>906415.28+59997.66+6542.98+103014.17</f>
        <v>1075970.09</v>
      </c>
      <c r="C62" s="41" t="s">
        <v>76</v>
      </c>
      <c r="D62" s="183">
        <v>900</v>
      </c>
      <c r="E62" s="171">
        <v>103014.17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3260537.09</v>
      </c>
      <c r="C64" s="41"/>
      <c r="D64" s="183"/>
      <c r="E64" s="177">
        <f>SUM(E53:E62)</f>
        <v>772886.17</v>
      </c>
      <c r="F64" s="17"/>
    </row>
    <row r="65" spans="1:7" ht="18" customHeight="1">
      <c r="A65" s="171"/>
      <c r="B65" s="177">
        <f>SUM(B64,B52)</f>
        <v>7764967.77</v>
      </c>
      <c r="C65" s="183" t="s">
        <v>59</v>
      </c>
      <c r="D65" s="183"/>
      <c r="E65" s="177">
        <f>SUM(E64,E52)</f>
        <v>1613049.9500000002</v>
      </c>
      <c r="F65" s="17"/>
      <c r="G65" s="17"/>
    </row>
    <row r="66" spans="1:7" ht="18" customHeight="1">
      <c r="A66" s="171"/>
      <c r="B66" s="171">
        <f>B34-B65</f>
        <v>2575201.3200000003</v>
      </c>
      <c r="C66" s="183" t="s">
        <v>19</v>
      </c>
      <c r="D66" s="183"/>
      <c r="E66" s="171">
        <f>E34-E65</f>
        <v>4251995.09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25069693.080000002</v>
      </c>
      <c r="D69" s="183"/>
      <c r="E69" s="173">
        <f>E9+E66</f>
        <v>25069693.08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334</v>
      </c>
      <c r="B74" s="35"/>
      <c r="C74" s="35"/>
      <c r="D74" s="158"/>
      <c r="E74" s="158"/>
      <c r="F74" s="158"/>
    </row>
    <row r="75" spans="1:6" s="159" customFormat="1" ht="24">
      <c r="A75" s="187" t="s">
        <v>333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22" right="0.35" top="0.75" bottom="0.75" header="0.31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5.421875" defaultRowHeight="23.25"/>
  <sheetData/>
  <sheetProtection/>
  <printOptions/>
  <pageMargins left="0.22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A1" sqref="A1:IV16384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20.0039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339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23611846.62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f>150+13912.08+27623.22+20520.2</f>
        <v>62205.5</v>
      </c>
      <c r="C11" s="41" t="s">
        <v>1</v>
      </c>
      <c r="D11" s="42">
        <f>G13</f>
        <v>0</v>
      </c>
      <c r="E11" s="171">
        <v>20520.2</v>
      </c>
      <c r="F11" s="17"/>
    </row>
    <row r="12" spans="1:6" ht="24">
      <c r="A12" s="171">
        <v>90900</v>
      </c>
      <c r="B12" s="171">
        <f>6359+6062+5960+7460+12294+6380</f>
        <v>44515</v>
      </c>
      <c r="C12" s="41" t="s">
        <v>53</v>
      </c>
      <c r="D12" s="42">
        <v>120</v>
      </c>
      <c r="E12" s="171">
        <v>6380</v>
      </c>
      <c r="F12" s="17" t="s">
        <v>326</v>
      </c>
    </row>
    <row r="13" spans="1:6" ht="24">
      <c r="A13" s="171">
        <v>105180</v>
      </c>
      <c r="B13" s="171">
        <v>19928.01</v>
      </c>
      <c r="C13" s="41" t="s">
        <v>2</v>
      </c>
      <c r="D13" s="42">
        <v>200</v>
      </c>
      <c r="E13" s="171">
        <v>0</v>
      </c>
      <c r="F13" s="17"/>
    </row>
    <row r="14" spans="1:6" ht="24">
      <c r="A14" s="171">
        <v>320000</v>
      </c>
      <c r="B14" s="171">
        <f>23929+26896+29051+33017+34535+34355</f>
        <v>181783</v>
      </c>
      <c r="C14" s="41" t="s">
        <v>3</v>
      </c>
      <c r="D14" s="42">
        <v>253</v>
      </c>
      <c r="E14" s="171">
        <v>34355</v>
      </c>
      <c r="F14" s="17"/>
    </row>
    <row r="15" spans="1:8" ht="24">
      <c r="A15" s="171">
        <v>23000</v>
      </c>
      <c r="B15" s="171">
        <f>470+5490+1410+20+1460</f>
        <v>8850</v>
      </c>
      <c r="C15" s="41" t="s">
        <v>4</v>
      </c>
      <c r="D15" s="42">
        <v>300</v>
      </c>
      <c r="E15" s="171">
        <v>1460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395264.4+247669.8+334101.38+2537655.66+412867.37+1780728.24</f>
        <v>5708286.850000001</v>
      </c>
      <c r="C17" s="41" t="s">
        <v>6</v>
      </c>
      <c r="D17" s="42">
        <v>1000</v>
      </c>
      <c r="E17" s="171">
        <v>1780728.24</v>
      </c>
      <c r="F17" s="17"/>
    </row>
    <row r="18" spans="1:8" ht="24">
      <c r="A18" s="171">
        <v>12315400</v>
      </c>
      <c r="B18" s="171">
        <f>3378679+3224538</f>
        <v>6603217</v>
      </c>
      <c r="C18" s="41" t="s">
        <v>271</v>
      </c>
      <c r="D18" s="42">
        <v>2000</v>
      </c>
      <c r="E18" s="171">
        <v>0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12628785.36</v>
      </c>
      <c r="C19" s="41"/>
      <c r="D19" s="42"/>
      <c r="E19" s="173">
        <f>SUM(E11:E18)</f>
        <v>1843443.44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1022.66+6542.98+736.83+27124.29+2981.42+897.42</f>
        <v>39305.6</v>
      </c>
      <c r="C23" s="41" t="s">
        <v>7</v>
      </c>
      <c r="D23" s="174">
        <v>900</v>
      </c>
      <c r="E23" s="175">
        <v>897.42</v>
      </c>
      <c r="F23" s="17"/>
      <c r="G23" s="101"/>
      <c r="H23" s="101"/>
    </row>
    <row r="24" spans="1:6" ht="24">
      <c r="A24" s="171"/>
      <c r="B24" s="171">
        <v>5940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v>800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46045.6</v>
      </c>
      <c r="C33" s="41"/>
      <c r="D33" s="42"/>
      <c r="E33" s="177">
        <f>SUM(E20:E32)</f>
        <v>897.42</v>
      </c>
      <c r="F33" s="17"/>
    </row>
    <row r="34" spans="1:6" ht="24.75" thickBot="1">
      <c r="A34" s="173">
        <f>SUM(A33,A19)</f>
        <v>25500000</v>
      </c>
      <c r="B34" s="173">
        <f>SUM(B33,B19)</f>
        <v>12674830.959999999</v>
      </c>
      <c r="C34" s="41"/>
      <c r="D34" s="42"/>
      <c r="E34" s="173">
        <f>SUM(E33,E19)</f>
        <v>1844340.8599999999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86136+439135+41927+6227+39827+6227</f>
        <v>619479</v>
      </c>
      <c r="C41" s="41" t="s">
        <v>54</v>
      </c>
      <c r="D41" s="182" t="s">
        <v>140</v>
      </c>
      <c r="E41" s="171">
        <v>6227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573220+580590+563940+514080+514080+514080</f>
        <v>3259990</v>
      </c>
      <c r="C42" s="41" t="s">
        <v>10</v>
      </c>
      <c r="D42" s="183">
        <v>5100</v>
      </c>
      <c r="E42" s="171">
        <v>514080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124110+124970+124540+124540+124540+124540</f>
        <v>747240</v>
      </c>
      <c r="C43" s="41" t="s">
        <v>11</v>
      </c>
      <c r="D43" s="183">
        <v>5130</v>
      </c>
      <c r="E43" s="175">
        <v>124540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25300+15400+11700+7700+9550</f>
        <v>69650</v>
      </c>
      <c r="C44" s="41" t="s">
        <v>12</v>
      </c>
      <c r="D44" s="183">
        <v>5200</v>
      </c>
      <c r="E44" s="171">
        <v>9550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48980+10510.51+53564.1+124036.53+33601.3</f>
        <v>270692.44</v>
      </c>
      <c r="C45" s="41" t="s">
        <v>13</v>
      </c>
      <c r="D45" s="183">
        <v>5250</v>
      </c>
      <c r="E45" s="171">
        <v>33601.3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150210.18+168155.28+107286+166682.04+16080</f>
        <v>608413.5</v>
      </c>
      <c r="C46" s="41" t="s">
        <v>14</v>
      </c>
      <c r="D46" s="183">
        <v>5270</v>
      </c>
      <c r="E46" s="171">
        <v>16080</v>
      </c>
      <c r="F46" s="23">
        <v>0</v>
      </c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22080.65+25362.28+22766.68+22972.53+20133.97</f>
        <v>113316.11</v>
      </c>
      <c r="C47" s="41" t="s">
        <v>15</v>
      </c>
      <c r="D47" s="183">
        <v>5300</v>
      </c>
      <c r="E47" s="175">
        <v>20133.97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436000+103700+431200</f>
        <v>970900</v>
      </c>
      <c r="C48" s="41" t="s">
        <v>16</v>
      </c>
      <c r="D48" s="183">
        <v>5400</v>
      </c>
      <c r="E48" s="175">
        <v>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6659681.050000001</v>
      </c>
      <c r="C52" s="41"/>
      <c r="D52" s="183"/>
      <c r="E52" s="173">
        <f>SUM(E41:E51)</f>
        <v>724212.27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365800+442500+384800+394400+392200+393000</f>
        <v>2372700</v>
      </c>
      <c r="C54" s="41" t="s">
        <v>298</v>
      </c>
      <c r="D54" s="183">
        <v>7400</v>
      </c>
      <c r="E54" s="171">
        <v>393000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7800+13800+47200+9000</f>
        <v>77800</v>
      </c>
      <c r="C56" s="41" t="s">
        <v>56</v>
      </c>
      <c r="D56" s="174">
        <v>90</v>
      </c>
      <c r="E56" s="171">
        <v>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336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252795+275472</f>
        <v>528267</v>
      </c>
      <c r="C61" s="41" t="s">
        <v>55</v>
      </c>
      <c r="D61" s="183">
        <v>700</v>
      </c>
      <c r="E61" s="171">
        <v>0</v>
      </c>
      <c r="F61" s="17"/>
    </row>
    <row r="62" spans="1:6" ht="18" customHeight="1">
      <c r="A62" s="171"/>
      <c r="B62" s="171">
        <f>906415.28+59997.66+6542.98+103014.17+115929.37+56691.64</f>
        <v>1248591.0999999999</v>
      </c>
      <c r="C62" s="41" t="s">
        <v>76</v>
      </c>
      <c r="D62" s="183">
        <v>900</v>
      </c>
      <c r="E62" s="171">
        <v>56691.64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4227358.1</v>
      </c>
      <c r="C64" s="41"/>
      <c r="D64" s="183"/>
      <c r="E64" s="177">
        <f>SUM(E53:E62)</f>
        <v>449691.64</v>
      </c>
      <c r="F64" s="17"/>
    </row>
    <row r="65" spans="1:7" ht="18" customHeight="1">
      <c r="A65" s="171"/>
      <c r="B65" s="177">
        <f>SUM(B64,B52)</f>
        <v>10887039.15</v>
      </c>
      <c r="C65" s="183" t="s">
        <v>59</v>
      </c>
      <c r="D65" s="183"/>
      <c r="E65" s="177">
        <f>SUM(E64,E52)</f>
        <v>1173903.9100000001</v>
      </c>
      <c r="F65" s="17"/>
      <c r="G65" s="17"/>
    </row>
    <row r="66" spans="1:7" ht="18" customHeight="1">
      <c r="A66" s="171"/>
      <c r="B66" s="171">
        <f>B34-B65</f>
        <v>1787791.8099999987</v>
      </c>
      <c r="C66" s="183" t="s">
        <v>19</v>
      </c>
      <c r="D66" s="183"/>
      <c r="E66" s="171">
        <f>E34-E65</f>
        <v>670436.9499999997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24282283.57</v>
      </c>
      <c r="D69" s="183"/>
      <c r="E69" s="173">
        <f>E9+E66</f>
        <v>24282283.57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334</v>
      </c>
      <c r="B74" s="35"/>
      <c r="C74" s="35"/>
      <c r="D74" s="158"/>
      <c r="E74" s="158"/>
      <c r="F74" s="158"/>
    </row>
    <row r="75" spans="1:6" s="159" customFormat="1" ht="24">
      <c r="A75" s="187" t="s">
        <v>333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35" right="0.23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0">
      <selection activeCell="B42" sqref="B42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5.421875" style="25" customWidth="1"/>
    <col min="4" max="4" width="12.421875" style="25" customWidth="1"/>
    <col min="5" max="5" width="20.0039062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340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24282283.57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f>150+13912.08+27623.22+20520.2+5685.12</f>
        <v>67890.62</v>
      </c>
      <c r="C11" s="41" t="s">
        <v>1</v>
      </c>
      <c r="D11" s="42">
        <f>G13</f>
        <v>0</v>
      </c>
      <c r="E11" s="171">
        <v>5685.12</v>
      </c>
      <c r="F11" s="17"/>
    </row>
    <row r="12" spans="1:6" ht="24">
      <c r="A12" s="171">
        <v>90900</v>
      </c>
      <c r="B12" s="171">
        <f>6359+6062+5960+7460+12294+6380+5740</f>
        <v>50255</v>
      </c>
      <c r="C12" s="41" t="s">
        <v>53</v>
      </c>
      <c r="D12" s="42">
        <v>120</v>
      </c>
      <c r="E12" s="171">
        <v>5740</v>
      </c>
      <c r="F12" s="17" t="s">
        <v>326</v>
      </c>
    </row>
    <row r="13" spans="1:6" ht="24">
      <c r="A13" s="171">
        <v>105180</v>
      </c>
      <c r="B13" s="171">
        <f>19928.01+12594.23</f>
        <v>32522.239999999998</v>
      </c>
      <c r="C13" s="41" t="s">
        <v>2</v>
      </c>
      <c r="D13" s="42">
        <v>200</v>
      </c>
      <c r="E13" s="171">
        <v>12594.23</v>
      </c>
      <c r="F13" s="17"/>
    </row>
    <row r="14" spans="1:6" ht="24">
      <c r="A14" s="171">
        <v>320000</v>
      </c>
      <c r="B14" s="171">
        <f>23929+26896+29051+33017+34535+34355+33991</f>
        <v>215774</v>
      </c>
      <c r="C14" s="41" t="s">
        <v>3</v>
      </c>
      <c r="D14" s="42">
        <v>253</v>
      </c>
      <c r="E14" s="171">
        <v>33991</v>
      </c>
      <c r="F14" s="17"/>
    </row>
    <row r="15" spans="1:8" ht="24">
      <c r="A15" s="171">
        <v>23000</v>
      </c>
      <c r="B15" s="171">
        <f>470+5490+1410+20+1460+960</f>
        <v>9810</v>
      </c>
      <c r="C15" s="41" t="s">
        <v>4</v>
      </c>
      <c r="D15" s="42">
        <v>300</v>
      </c>
      <c r="E15" s="171">
        <v>960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395264.4+247669.8+334101.38+2537655.66+412867.37+1780728.24+456609.1</f>
        <v>6164895.95</v>
      </c>
      <c r="C17" s="41" t="s">
        <v>6</v>
      </c>
      <c r="D17" s="42">
        <v>1000</v>
      </c>
      <c r="E17" s="171">
        <v>456609.1</v>
      </c>
      <c r="F17" s="17"/>
    </row>
    <row r="18" spans="1:8" ht="24">
      <c r="A18" s="171">
        <v>12315400</v>
      </c>
      <c r="B18" s="171">
        <f>3378679+3224538+1894703</f>
        <v>8497920</v>
      </c>
      <c r="C18" s="41" t="s">
        <v>271</v>
      </c>
      <c r="D18" s="42">
        <v>2000</v>
      </c>
      <c r="E18" s="171">
        <v>1894703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15039067.81</v>
      </c>
      <c r="C19" s="41"/>
      <c r="D19" s="42"/>
      <c r="E19" s="173">
        <f>SUM(E11:E18)</f>
        <v>2410282.45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1022.66+6542.98+736.83+27124.29+2981.42+897.42+1929.55</f>
        <v>41235.15</v>
      </c>
      <c r="C23" s="41" t="s">
        <v>7</v>
      </c>
      <c r="D23" s="174">
        <v>900</v>
      </c>
      <c r="E23" s="175">
        <v>1929.55</v>
      </c>
      <c r="F23" s="17"/>
      <c r="G23" s="101"/>
      <c r="H23" s="101"/>
    </row>
    <row r="24" spans="1:6" ht="24">
      <c r="A24" s="171"/>
      <c r="B24" s="171">
        <v>5940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f>800+100</f>
        <v>900</v>
      </c>
      <c r="C28" s="41" t="s">
        <v>144</v>
      </c>
      <c r="D28" s="42"/>
      <c r="E28" s="171">
        <v>100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48075.15</v>
      </c>
      <c r="C33" s="41"/>
      <c r="D33" s="42"/>
      <c r="E33" s="177">
        <f>SUM(E20:E32)</f>
        <v>2029.55</v>
      </c>
      <c r="F33" s="17"/>
    </row>
    <row r="34" spans="1:6" ht="24.75" thickBot="1">
      <c r="A34" s="173">
        <f>SUM(A33,A19)</f>
        <v>25500000</v>
      </c>
      <c r="B34" s="173">
        <f>SUM(B33,B19)</f>
        <v>15087142.96</v>
      </c>
      <c r="C34" s="41"/>
      <c r="D34" s="42"/>
      <c r="E34" s="173">
        <f>SUM(E33,E19)</f>
        <v>2412312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86136+439135+41927+6227+39827+6227+50447</f>
        <v>669926</v>
      </c>
      <c r="C41" s="41" t="s">
        <v>54</v>
      </c>
      <c r="D41" s="182" t="s">
        <v>140</v>
      </c>
      <c r="E41" s="171">
        <v>50447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573220+580590+563940+514080+514080+514080+543046</f>
        <v>3803036</v>
      </c>
      <c r="C42" s="41" t="s">
        <v>10</v>
      </c>
      <c r="D42" s="183">
        <v>5100</v>
      </c>
      <c r="E42" s="171">
        <v>543046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124110+124970+124540+124540+124540+124540+129206</f>
        <v>876446</v>
      </c>
      <c r="C43" s="41" t="s">
        <v>11</v>
      </c>
      <c r="D43" s="183">
        <v>5130</v>
      </c>
      <c r="E43" s="175">
        <v>129206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25300+15400+11700+7700+9550+15400</f>
        <v>85050</v>
      </c>
      <c r="C44" s="41" t="s">
        <v>12</v>
      </c>
      <c r="D44" s="183">
        <v>5200</v>
      </c>
      <c r="E44" s="171">
        <v>15400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48980+10510.51+53564.1+124036.53+33601.3+82612.7</f>
        <v>353305.14</v>
      </c>
      <c r="C45" s="41" t="s">
        <v>13</v>
      </c>
      <c r="D45" s="183">
        <v>5250</v>
      </c>
      <c r="E45" s="171">
        <v>82612.7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150210.18+168155.28+107286+166682.04+16080+289903.98</f>
        <v>898317.48</v>
      </c>
      <c r="C46" s="41" t="s">
        <v>14</v>
      </c>
      <c r="D46" s="183">
        <v>5270</v>
      </c>
      <c r="E46" s="171">
        <v>289903.98</v>
      </c>
      <c r="F46" s="23"/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22080.65+25362.28+22766.68+22972.53+20133.97+23801.58</f>
        <v>137117.69</v>
      </c>
      <c r="C47" s="41" t="s">
        <v>15</v>
      </c>
      <c r="D47" s="183">
        <v>5300</v>
      </c>
      <c r="E47" s="175">
        <v>23801.58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436000+103700+431200</f>
        <v>970900</v>
      </c>
      <c r="C48" s="41" t="s">
        <v>16</v>
      </c>
      <c r="D48" s="183">
        <v>5400</v>
      </c>
      <c r="E48" s="175">
        <v>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7794098.31</v>
      </c>
      <c r="C52" s="41"/>
      <c r="D52" s="183"/>
      <c r="E52" s="173">
        <f>SUM(E41:E51)</f>
        <v>1134417.26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365800+442500+384800+394400+392200+393000+392200</f>
        <v>2764900</v>
      </c>
      <c r="C54" s="41" t="s">
        <v>298</v>
      </c>
      <c r="D54" s="183">
        <v>7400</v>
      </c>
      <c r="E54" s="171">
        <v>392200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7800+13800+47200+9000</f>
        <v>77800</v>
      </c>
      <c r="C56" s="41" t="s">
        <v>56</v>
      </c>
      <c r="D56" s="174">
        <v>90</v>
      </c>
      <c r="E56" s="171">
        <v>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336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252795+275472</f>
        <v>528267</v>
      </c>
      <c r="C61" s="41" t="s">
        <v>55</v>
      </c>
      <c r="D61" s="183">
        <v>700</v>
      </c>
      <c r="E61" s="171">
        <v>0</v>
      </c>
      <c r="F61" s="17"/>
    </row>
    <row r="62" spans="1:6" ht="18" customHeight="1">
      <c r="A62" s="171"/>
      <c r="B62" s="171">
        <f>906415.28+59997.66+6542.98+103014.17+115929.37+56691.64+376.62</f>
        <v>1248967.72</v>
      </c>
      <c r="C62" s="41" t="s">
        <v>76</v>
      </c>
      <c r="D62" s="183">
        <v>900</v>
      </c>
      <c r="E62" s="171">
        <v>376.62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4619934.72</v>
      </c>
      <c r="C64" s="41"/>
      <c r="D64" s="183"/>
      <c r="E64" s="177">
        <f>SUM(E53:E62)</f>
        <v>392576.62</v>
      </c>
      <c r="F64" s="17"/>
    </row>
    <row r="65" spans="1:7" ht="18" customHeight="1">
      <c r="A65" s="171"/>
      <c r="B65" s="177">
        <f>SUM(B64,B52)</f>
        <v>12414033.03</v>
      </c>
      <c r="C65" s="183" t="s">
        <v>59</v>
      </c>
      <c r="D65" s="183"/>
      <c r="E65" s="177">
        <f>SUM(E64,E52)</f>
        <v>1526993.88</v>
      </c>
      <c r="F65" s="17"/>
      <c r="G65" s="17"/>
    </row>
    <row r="66" spans="1:8" ht="18" customHeight="1">
      <c r="A66" s="171"/>
      <c r="B66" s="171">
        <f>B34-B65</f>
        <v>2673109.9300000016</v>
      </c>
      <c r="C66" s="183" t="s">
        <v>19</v>
      </c>
      <c r="D66" s="183"/>
      <c r="E66" s="171">
        <f>E34-E65</f>
        <v>885318.1200000001</v>
      </c>
      <c r="F66" s="17"/>
      <c r="G66" s="25" t="s">
        <v>97</v>
      </c>
      <c r="H66" s="25" t="s">
        <v>349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25167601.690000005</v>
      </c>
      <c r="D69" s="183"/>
      <c r="E69" s="173">
        <f>E9+E66</f>
        <v>25167601.69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304</v>
      </c>
      <c r="B73" s="35"/>
      <c r="C73" s="35"/>
      <c r="D73" s="158"/>
      <c r="E73" s="158"/>
      <c r="F73" s="158"/>
    </row>
    <row r="74" spans="1:6" s="159" customFormat="1" ht="24">
      <c r="A74" s="35" t="s">
        <v>342</v>
      </c>
      <c r="B74" s="35"/>
      <c r="C74" s="35"/>
      <c r="D74" s="158"/>
      <c r="E74" s="158"/>
      <c r="F74" s="158"/>
    </row>
    <row r="75" spans="1:6" s="159" customFormat="1" ht="24">
      <c r="A75" s="187" t="s">
        <v>341</v>
      </c>
      <c r="B75" s="35"/>
      <c r="C75" s="35"/>
      <c r="D75" s="158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32" right="0.21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0">
      <selection activeCell="F30" sqref="F30"/>
    </sheetView>
  </sheetViews>
  <sheetFormatPr defaultColWidth="15.421875" defaultRowHeight="23.25"/>
  <cols>
    <col min="1" max="1" width="17.421875" style="25" customWidth="1"/>
    <col min="2" max="2" width="17.28125" style="25" customWidth="1"/>
    <col min="3" max="3" width="33.8515625" style="25" customWidth="1"/>
    <col min="4" max="4" width="10.421875" style="25" customWidth="1"/>
    <col min="5" max="5" width="20.421875" style="25" customWidth="1"/>
    <col min="6" max="16384" width="15.421875" style="25" customWidth="1"/>
  </cols>
  <sheetData>
    <row r="1" ht="24">
      <c r="A1" s="38" t="s">
        <v>100</v>
      </c>
    </row>
    <row r="2" ht="24">
      <c r="A2" s="38" t="s">
        <v>47</v>
      </c>
    </row>
    <row r="3" ht="24">
      <c r="E3" s="32" t="s">
        <v>330</v>
      </c>
    </row>
    <row r="4" ht="24">
      <c r="C4" s="39" t="s">
        <v>71</v>
      </c>
    </row>
    <row r="5" ht="24" customHeight="1" thickBot="1">
      <c r="E5" s="32" t="s">
        <v>350</v>
      </c>
    </row>
    <row r="6" spans="1:6" s="39" customFormat="1" ht="24.75" thickTop="1">
      <c r="A6" s="224" t="s">
        <v>48</v>
      </c>
      <c r="B6" s="225"/>
      <c r="C6" s="166"/>
      <c r="D6" s="166"/>
      <c r="E6" s="167" t="s">
        <v>49</v>
      </c>
      <c r="F6" s="40"/>
    </row>
    <row r="7" spans="1:6" s="39" customFormat="1" ht="24">
      <c r="A7" s="168" t="s">
        <v>50</v>
      </c>
      <c r="B7" s="168" t="s">
        <v>51</v>
      </c>
      <c r="C7" s="169" t="s">
        <v>0</v>
      </c>
      <c r="D7" s="169" t="s">
        <v>8</v>
      </c>
      <c r="E7" s="168" t="s">
        <v>51</v>
      </c>
      <c r="F7" s="40"/>
    </row>
    <row r="8" spans="1:6" s="39" customFormat="1" ht="24.75" thickBot="1">
      <c r="A8" s="170" t="s">
        <v>52</v>
      </c>
      <c r="B8" s="170" t="s">
        <v>52</v>
      </c>
      <c r="C8" s="170"/>
      <c r="D8" s="170"/>
      <c r="E8" s="170" t="s">
        <v>52</v>
      </c>
      <c r="F8" s="40"/>
    </row>
    <row r="9" spans="1:7" ht="24.75" thickTop="1">
      <c r="A9" s="171"/>
      <c r="B9" s="171">
        <v>22494491.76</v>
      </c>
      <c r="C9" s="41" t="s">
        <v>23</v>
      </c>
      <c r="D9" s="42"/>
      <c r="E9" s="171">
        <v>25167621.69</v>
      </c>
      <c r="F9" s="17"/>
      <c r="G9" s="25" t="s">
        <v>143</v>
      </c>
    </row>
    <row r="10" spans="1:6" ht="24">
      <c r="A10" s="171"/>
      <c r="B10" s="171"/>
      <c r="C10" s="172" t="s">
        <v>301</v>
      </c>
      <c r="D10" s="42"/>
      <c r="E10" s="171"/>
      <c r="F10" s="17"/>
    </row>
    <row r="11" spans="1:6" ht="24">
      <c r="A11" s="171">
        <v>82520</v>
      </c>
      <c r="B11" s="171">
        <f>150+13912.08+27623.22+20520.2+5685.12+2871.7</f>
        <v>70762.31999999999</v>
      </c>
      <c r="C11" s="41" t="s">
        <v>1</v>
      </c>
      <c r="D11" s="42">
        <f>G13</f>
        <v>0</v>
      </c>
      <c r="E11" s="171">
        <f>1931.7+940</f>
        <v>2871.7</v>
      </c>
      <c r="F11" s="17"/>
    </row>
    <row r="12" spans="1:6" ht="24">
      <c r="A12" s="171">
        <v>90900</v>
      </c>
      <c r="B12" s="171">
        <f>6359+6062+5960+7460+12294+6380+5740+6515</f>
        <v>56770</v>
      </c>
      <c r="C12" s="41" t="s">
        <v>53</v>
      </c>
      <c r="D12" s="42">
        <v>120</v>
      </c>
      <c r="E12" s="171">
        <f>985+5510+20</f>
        <v>6515</v>
      </c>
      <c r="F12" s="17" t="s">
        <v>326</v>
      </c>
    </row>
    <row r="13" spans="1:6" ht="24">
      <c r="A13" s="171">
        <v>105180</v>
      </c>
      <c r="B13" s="171">
        <f>19928.01+12594.23</f>
        <v>32522.239999999998</v>
      </c>
      <c r="C13" s="41" t="s">
        <v>2</v>
      </c>
      <c r="D13" s="42">
        <v>200</v>
      </c>
      <c r="E13" s="171">
        <v>0</v>
      </c>
      <c r="F13" s="17"/>
    </row>
    <row r="14" spans="1:6" ht="24">
      <c r="A14" s="171">
        <v>320000</v>
      </c>
      <c r="B14" s="171">
        <f>23929+26896+29051+33017+34535+34355+33991+32050</f>
        <v>247824</v>
      </c>
      <c r="C14" s="41" t="s">
        <v>3</v>
      </c>
      <c r="D14" s="42">
        <v>253</v>
      </c>
      <c r="E14" s="171">
        <v>32050</v>
      </c>
      <c r="F14" s="17"/>
    </row>
    <row r="15" spans="1:8" ht="24">
      <c r="A15" s="171">
        <v>23000</v>
      </c>
      <c r="B15" s="171">
        <f>470+5490+1410+20+1460+960</f>
        <v>9810</v>
      </c>
      <c r="C15" s="41" t="s">
        <v>4</v>
      </c>
      <c r="D15" s="42">
        <v>300</v>
      </c>
      <c r="E15" s="171">
        <v>0</v>
      </c>
      <c r="F15" s="17"/>
      <c r="H15" s="25" t="s">
        <v>139</v>
      </c>
    </row>
    <row r="16" spans="1:6" ht="24">
      <c r="A16" s="171">
        <v>0</v>
      </c>
      <c r="B16" s="171">
        <f>+E16</f>
        <v>0</v>
      </c>
      <c r="C16" s="41" t="s">
        <v>5</v>
      </c>
      <c r="D16" s="42">
        <v>350</v>
      </c>
      <c r="E16" s="171">
        <v>0</v>
      </c>
      <c r="F16" s="17"/>
    </row>
    <row r="17" spans="1:6" ht="24">
      <c r="A17" s="171">
        <v>12563000</v>
      </c>
      <c r="B17" s="171">
        <f>395264.4+247669.8+334101.38+2537655.66+412867.37+1780728.24+456609.1</f>
        <v>6164895.95</v>
      </c>
      <c r="C17" s="41" t="s">
        <v>6</v>
      </c>
      <c r="D17" s="42">
        <v>1000</v>
      </c>
      <c r="E17" s="171">
        <v>0</v>
      </c>
      <c r="F17" s="17"/>
    </row>
    <row r="18" spans="1:8" ht="24">
      <c r="A18" s="171">
        <v>12315400</v>
      </c>
      <c r="B18" s="171">
        <f>3378679+3224538+1894703</f>
        <v>8497920</v>
      </c>
      <c r="C18" s="41" t="s">
        <v>271</v>
      </c>
      <c r="D18" s="42">
        <v>2000</v>
      </c>
      <c r="E18" s="171">
        <v>0</v>
      </c>
      <c r="F18" s="17"/>
      <c r="H18" s="25" t="s">
        <v>97</v>
      </c>
    </row>
    <row r="19" spans="1:6" ht="24.75" thickBot="1">
      <c r="A19" s="173">
        <f>SUM(A11:A18)</f>
        <v>25500000</v>
      </c>
      <c r="B19" s="173">
        <f>SUM(B11:B18)</f>
        <v>15080504.51</v>
      </c>
      <c r="C19" s="41"/>
      <c r="D19" s="42"/>
      <c r="E19" s="173">
        <f>SUM(E11:E18)</f>
        <v>41436.7</v>
      </c>
      <c r="F19" s="17"/>
    </row>
    <row r="20" spans="1:6" ht="24.75" thickTop="1">
      <c r="A20" s="171"/>
      <c r="B20" s="171">
        <v>0</v>
      </c>
      <c r="C20" s="41" t="s">
        <v>198</v>
      </c>
      <c r="D20" s="42"/>
      <c r="E20" s="171">
        <v>0</v>
      </c>
      <c r="F20" s="17"/>
    </row>
    <row r="21" spans="1:7" ht="24">
      <c r="A21" s="171">
        <v>0</v>
      </c>
      <c r="B21" s="171">
        <v>0</v>
      </c>
      <c r="C21" s="41" t="s">
        <v>258</v>
      </c>
      <c r="D21" s="42">
        <v>3000</v>
      </c>
      <c r="E21" s="171">
        <v>0</v>
      </c>
      <c r="F21" s="17"/>
      <c r="G21" s="101"/>
    </row>
    <row r="22" spans="1:6" ht="24">
      <c r="A22" s="171"/>
      <c r="B22" s="171">
        <v>0</v>
      </c>
      <c r="C22" s="41" t="s">
        <v>323</v>
      </c>
      <c r="D22" s="174">
        <v>13</v>
      </c>
      <c r="E22" s="171">
        <v>0</v>
      </c>
      <c r="F22" s="17"/>
    </row>
    <row r="23" spans="1:8" ht="24">
      <c r="A23" s="171"/>
      <c r="B23" s="171">
        <f>1022.66+6542.98+736.83+27124.29+2981.42+897.42+1929.55+1566.99</f>
        <v>42802.14</v>
      </c>
      <c r="C23" s="41" t="s">
        <v>7</v>
      </c>
      <c r="D23" s="174">
        <v>900</v>
      </c>
      <c r="E23" s="175">
        <v>1566.99</v>
      </c>
      <c r="F23" s="17"/>
      <c r="G23" s="101"/>
      <c r="H23" s="101"/>
    </row>
    <row r="24" spans="1:6" ht="24">
      <c r="A24" s="171"/>
      <c r="B24" s="171">
        <v>5940</v>
      </c>
      <c r="C24" s="41" t="s">
        <v>22</v>
      </c>
      <c r="D24" s="174">
        <v>700</v>
      </c>
      <c r="E24" s="171">
        <v>0</v>
      </c>
      <c r="F24" s="17"/>
    </row>
    <row r="25" spans="1:6" ht="24">
      <c r="A25" s="171"/>
      <c r="B25" s="171">
        <f>+E25</f>
        <v>0</v>
      </c>
      <c r="C25" s="41" t="s">
        <v>93</v>
      </c>
      <c r="D25" s="42">
        <v>7000</v>
      </c>
      <c r="E25" s="171">
        <v>0</v>
      </c>
      <c r="F25" s="17"/>
    </row>
    <row r="26" spans="1:6" ht="24">
      <c r="A26" s="171"/>
      <c r="B26" s="171">
        <v>0</v>
      </c>
      <c r="C26" s="41" t="s">
        <v>266</v>
      </c>
      <c r="D26" s="174">
        <v>81</v>
      </c>
      <c r="E26" s="171">
        <v>0</v>
      </c>
      <c r="F26" s="17"/>
    </row>
    <row r="27" spans="1:6" ht="24">
      <c r="A27" s="171"/>
      <c r="B27" s="171">
        <v>0</v>
      </c>
      <c r="C27" s="41" t="s">
        <v>314</v>
      </c>
      <c r="D27" s="174">
        <v>82</v>
      </c>
      <c r="E27" s="171">
        <v>0</v>
      </c>
      <c r="F27" s="17"/>
    </row>
    <row r="28" spans="1:6" ht="24">
      <c r="A28" s="171"/>
      <c r="B28" s="171">
        <f>800+100</f>
        <v>900</v>
      </c>
      <c r="C28" s="41" t="s">
        <v>144</v>
      </c>
      <c r="D28" s="42"/>
      <c r="E28" s="171">
        <v>0</v>
      </c>
      <c r="F28" s="17"/>
    </row>
    <row r="29" spans="1:6" ht="24">
      <c r="A29" s="171"/>
      <c r="B29" s="171">
        <v>0</v>
      </c>
      <c r="C29" s="41" t="s">
        <v>313</v>
      </c>
      <c r="D29" s="42"/>
      <c r="E29" s="171">
        <v>0</v>
      </c>
      <c r="F29" s="17"/>
    </row>
    <row r="30" spans="1:6" ht="24">
      <c r="A30" s="171"/>
      <c r="B30" s="171"/>
      <c r="C30" s="41"/>
      <c r="D30" s="42"/>
      <c r="E30" s="171"/>
      <c r="F30" s="17"/>
    </row>
    <row r="31" spans="1:7" ht="24">
      <c r="A31" s="171"/>
      <c r="B31" s="171"/>
      <c r="C31" s="41"/>
      <c r="D31" s="42"/>
      <c r="E31" s="171"/>
      <c r="F31" s="17"/>
      <c r="G31" s="16"/>
    </row>
    <row r="32" spans="1:6" ht="24">
      <c r="A32" s="171"/>
      <c r="B32" s="171"/>
      <c r="C32" s="41"/>
      <c r="D32" s="42"/>
      <c r="E32" s="171"/>
      <c r="F32" s="17"/>
    </row>
    <row r="33" spans="1:6" ht="24">
      <c r="A33" s="176">
        <f>SUM(A21:A32)</f>
        <v>0</v>
      </c>
      <c r="B33" s="177">
        <f>SUM(B20:B32)</f>
        <v>49642.14</v>
      </c>
      <c r="C33" s="41"/>
      <c r="D33" s="42"/>
      <c r="E33" s="177">
        <f>SUM(E20:E32)</f>
        <v>1566.99</v>
      </c>
      <c r="F33" s="17"/>
    </row>
    <row r="34" spans="1:6" ht="24.75" thickBot="1">
      <c r="A34" s="173">
        <f>SUM(A33,A19)</f>
        <v>25500000</v>
      </c>
      <c r="B34" s="173">
        <f>SUM(B33,B19)</f>
        <v>15130146.65</v>
      </c>
      <c r="C34" s="41"/>
      <c r="D34" s="42"/>
      <c r="E34" s="173">
        <f>SUM(E33,E19)</f>
        <v>43003.689999999995</v>
      </c>
      <c r="F34" s="17"/>
    </row>
    <row r="35" spans="1:6" ht="24.75" thickTop="1">
      <c r="A35" s="17"/>
      <c r="B35" s="17"/>
      <c r="C35" s="16"/>
      <c r="D35" s="49"/>
      <c r="E35" s="17"/>
      <c r="F35" s="17"/>
    </row>
    <row r="36" spans="1:6" ht="24">
      <c r="A36" s="17"/>
      <c r="B36" s="17"/>
      <c r="C36" s="16"/>
      <c r="D36" s="49"/>
      <c r="E36" s="17"/>
      <c r="F36" s="17"/>
    </row>
    <row r="37" spans="1:6" s="39" customFormat="1" ht="15.75" customHeight="1">
      <c r="A37" s="226" t="s">
        <v>48</v>
      </c>
      <c r="B37" s="227"/>
      <c r="C37" s="168"/>
      <c r="D37" s="168"/>
      <c r="E37" s="27" t="s">
        <v>49</v>
      </c>
      <c r="F37" s="40"/>
    </row>
    <row r="38" spans="1:6" s="39" customFormat="1" ht="17.25" customHeight="1">
      <c r="A38" s="168" t="s">
        <v>50</v>
      </c>
      <c r="B38" s="168" t="s">
        <v>51</v>
      </c>
      <c r="C38" s="169" t="s">
        <v>0</v>
      </c>
      <c r="D38" s="169" t="s">
        <v>8</v>
      </c>
      <c r="E38" s="168" t="s">
        <v>51</v>
      </c>
      <c r="F38" s="40"/>
    </row>
    <row r="39" spans="1:6" s="39" customFormat="1" ht="16.5" customHeight="1" thickBot="1">
      <c r="A39" s="170" t="s">
        <v>52</v>
      </c>
      <c r="B39" s="170" t="s">
        <v>52</v>
      </c>
      <c r="C39" s="170"/>
      <c r="D39" s="170"/>
      <c r="E39" s="170" t="s">
        <v>52</v>
      </c>
      <c r="F39" s="40"/>
    </row>
    <row r="40" spans="1:6" ht="18" customHeight="1" thickTop="1">
      <c r="A40" s="178"/>
      <c r="B40" s="178"/>
      <c r="C40" s="179" t="s">
        <v>9</v>
      </c>
      <c r="D40" s="180"/>
      <c r="E40" s="181"/>
      <c r="F40" s="17"/>
    </row>
    <row r="41" spans="1:6" ht="17.25" customHeight="1">
      <c r="A41" s="171">
        <v>5421846</v>
      </c>
      <c r="B41" s="171">
        <f>86136+439135+41927+6227+39827+6227+50427+19587</f>
        <v>689493</v>
      </c>
      <c r="C41" s="41" t="s">
        <v>54</v>
      </c>
      <c r="D41" s="182" t="s">
        <v>140</v>
      </c>
      <c r="E41" s="171">
        <v>19587</v>
      </c>
      <c r="F41" s="17"/>
    </row>
    <row r="42" spans="1:10" ht="18.75" customHeight="1">
      <c r="A42" s="171">
        <f>514080+42120+42120+86400+2145600+2062680+91200+133200+988080+56640+42000+822000+42000+500000+42000</f>
        <v>7610120</v>
      </c>
      <c r="B42" s="171">
        <f>573220+580590+563940+514080+514080+514080+543046+576050</f>
        <v>4379086</v>
      </c>
      <c r="C42" s="41" t="s">
        <v>10</v>
      </c>
      <c r="D42" s="183">
        <v>5100</v>
      </c>
      <c r="E42" s="171">
        <v>576050</v>
      </c>
      <c r="F42" s="23"/>
      <c r="G42" s="17"/>
      <c r="H42" s="17"/>
      <c r="I42" s="184"/>
      <c r="J42" s="16"/>
    </row>
    <row r="43" spans="1:10" ht="18.75" customHeight="1">
      <c r="A43" s="171">
        <f>648000+72000+108000+12000+360000+48000+396000+44000</f>
        <v>1688000</v>
      </c>
      <c r="B43" s="171">
        <f>124110+124970+124540+124540+124540+124540+129206+131540</f>
        <v>1007986</v>
      </c>
      <c r="C43" s="41" t="s">
        <v>11</v>
      </c>
      <c r="D43" s="183">
        <v>5130</v>
      </c>
      <c r="E43" s="175">
        <v>131540</v>
      </c>
      <c r="F43" s="23"/>
      <c r="G43" s="17"/>
      <c r="H43" s="17"/>
      <c r="I43" s="16"/>
      <c r="J43" s="16"/>
    </row>
    <row r="44" spans="1:10" ht="18.75" customHeight="1">
      <c r="A44" s="171">
        <f>280000+144000+20000+142000</f>
        <v>586000</v>
      </c>
      <c r="B44" s="171">
        <f>25300+15400+11700+7700+9550+15400+18950</f>
        <v>104000</v>
      </c>
      <c r="C44" s="41" t="s">
        <v>12</v>
      </c>
      <c r="D44" s="183">
        <v>5200</v>
      </c>
      <c r="E44" s="171">
        <v>18950</v>
      </c>
      <c r="F44" s="23"/>
      <c r="G44" s="17"/>
      <c r="H44" s="17"/>
      <c r="I44" s="16"/>
      <c r="J44" s="16"/>
    </row>
    <row r="45" spans="1:10" ht="18.75" customHeight="1">
      <c r="A45" s="171">
        <f>650000+10000+170000+160000+145000+532000+30204+100000+40000+206000+50000+190000+130000+190000+20000+100000</f>
        <v>2723204</v>
      </c>
      <c r="B45" s="171">
        <f>48980+10510.51+53564.1+124036.53+33601.3+82612.7+146464.2</f>
        <v>499769.34</v>
      </c>
      <c r="C45" s="41" t="s">
        <v>13</v>
      </c>
      <c r="D45" s="183">
        <v>5250</v>
      </c>
      <c r="E45" s="171">
        <v>146464.2</v>
      </c>
      <c r="F45" s="23"/>
      <c r="G45" s="17"/>
      <c r="H45" s="17"/>
      <c r="I45" s="184"/>
      <c r="J45" s="16"/>
    </row>
    <row r="46" spans="1:10" ht="18.75" customHeight="1">
      <c r="A46" s="171">
        <f>420000+135000+110000+889876+569154+50000</f>
        <v>2174030</v>
      </c>
      <c r="B46" s="175">
        <f>150210.18+168155.28+107286+166682.04+16080+289903.98+6876</f>
        <v>905193.48</v>
      </c>
      <c r="C46" s="41" t="s">
        <v>14</v>
      </c>
      <c r="D46" s="183">
        <v>5270</v>
      </c>
      <c r="E46" s="171">
        <v>6876</v>
      </c>
      <c r="F46" s="23"/>
      <c r="G46" s="17"/>
      <c r="H46" s="17"/>
      <c r="I46" s="184"/>
      <c r="J46" s="16"/>
    </row>
    <row r="47" spans="1:10" ht="18.75" customHeight="1">
      <c r="A47" s="171">
        <f>405000+20000</f>
        <v>425000</v>
      </c>
      <c r="B47" s="175">
        <f>22080.65+25362.28+22766.68+22972.53+20133.97+23801.58+22890.4</f>
        <v>160008.09</v>
      </c>
      <c r="C47" s="41" t="s">
        <v>15</v>
      </c>
      <c r="D47" s="183">
        <v>5300</v>
      </c>
      <c r="E47" s="175">
        <v>22890.4</v>
      </c>
      <c r="F47" s="23"/>
      <c r="G47" s="17"/>
      <c r="H47" s="17"/>
      <c r="I47" s="16"/>
      <c r="J47" s="16"/>
    </row>
    <row r="48" spans="1:10" ht="18.75" customHeight="1">
      <c r="A48" s="171">
        <f>1464000+165000+20000</f>
        <v>1649000</v>
      </c>
      <c r="B48" s="175">
        <f>436000+103700+431200</f>
        <v>970900</v>
      </c>
      <c r="C48" s="41" t="s">
        <v>16</v>
      </c>
      <c r="D48" s="183">
        <v>5400</v>
      </c>
      <c r="E48" s="175">
        <v>0</v>
      </c>
      <c r="F48" s="23"/>
      <c r="G48" s="17"/>
      <c r="H48" s="17"/>
      <c r="I48" s="184"/>
      <c r="J48" s="16"/>
    </row>
    <row r="49" spans="1:10" ht="15.75" customHeight="1">
      <c r="A49" s="171">
        <f>134000+32000+30000+28700+228600+144000</f>
        <v>597300</v>
      </c>
      <c r="B49" s="175">
        <v>0</v>
      </c>
      <c r="C49" s="41" t="s">
        <v>17</v>
      </c>
      <c r="D49" s="183">
        <v>5450</v>
      </c>
      <c r="E49" s="175">
        <v>0</v>
      </c>
      <c r="F49" s="23"/>
      <c r="G49" s="184"/>
      <c r="H49" s="17"/>
      <c r="I49" s="16"/>
      <c r="J49" s="16"/>
    </row>
    <row r="50" spans="1:10" ht="18.75" customHeight="1">
      <c r="A50" s="171">
        <f>500000+648700+1346800+100000</f>
        <v>2595500</v>
      </c>
      <c r="B50" s="175">
        <v>0</v>
      </c>
      <c r="C50" s="41" t="s">
        <v>18</v>
      </c>
      <c r="D50" s="183"/>
      <c r="E50" s="175">
        <v>0</v>
      </c>
      <c r="F50" s="17"/>
      <c r="G50" s="16"/>
      <c r="H50" s="17"/>
      <c r="I50" s="16"/>
      <c r="J50" s="16"/>
    </row>
    <row r="51" spans="1:10" ht="18.75" customHeight="1">
      <c r="A51" s="171">
        <v>30000</v>
      </c>
      <c r="B51" s="175">
        <v>0</v>
      </c>
      <c r="C51" s="41" t="s">
        <v>244</v>
      </c>
      <c r="D51" s="183">
        <v>6500</v>
      </c>
      <c r="E51" s="175">
        <v>0</v>
      </c>
      <c r="F51" s="17"/>
      <c r="G51" s="16"/>
      <c r="H51" s="17"/>
      <c r="I51" s="184"/>
      <c r="J51" s="16"/>
    </row>
    <row r="52" spans="1:10" ht="18.75" customHeight="1" thickBot="1">
      <c r="A52" s="173">
        <f>SUM(A41:A51)</f>
        <v>25500000</v>
      </c>
      <c r="B52" s="173">
        <f>SUM(B41:B51)</f>
        <v>8716435.91</v>
      </c>
      <c r="C52" s="41"/>
      <c r="D52" s="183"/>
      <c r="E52" s="173">
        <f>SUM(E41:E51)</f>
        <v>922357.6</v>
      </c>
      <c r="F52" s="17"/>
      <c r="G52" s="16"/>
      <c r="H52" s="17"/>
      <c r="I52" s="16"/>
      <c r="J52" s="16"/>
    </row>
    <row r="53" spans="1:10" ht="15.75" customHeight="1" thickTop="1">
      <c r="A53" s="171"/>
      <c r="B53" s="171">
        <f>0</f>
        <v>0</v>
      </c>
      <c r="C53" s="41" t="s">
        <v>91</v>
      </c>
      <c r="D53" s="183">
        <v>7000</v>
      </c>
      <c r="E53" s="171">
        <v>0</v>
      </c>
      <c r="F53" s="17"/>
      <c r="G53" s="16"/>
      <c r="H53" s="16"/>
      <c r="I53" s="16"/>
      <c r="J53" s="16"/>
    </row>
    <row r="54" spans="1:6" ht="18" customHeight="1">
      <c r="A54" s="171"/>
      <c r="B54" s="171">
        <f>365800+442500+384800+394400+392200+393000+392200+391500</f>
        <v>3156400</v>
      </c>
      <c r="C54" s="41" t="s">
        <v>298</v>
      </c>
      <c r="D54" s="183">
        <v>7400</v>
      </c>
      <c r="E54" s="171">
        <f>329400+57600+4500</f>
        <v>391500</v>
      </c>
      <c r="F54" s="17"/>
    </row>
    <row r="55" spans="1:6" ht="18" customHeight="1">
      <c r="A55" s="171"/>
      <c r="B55" s="171"/>
      <c r="C55" s="41" t="s">
        <v>18</v>
      </c>
      <c r="D55" s="183">
        <v>7500</v>
      </c>
      <c r="E55" s="171"/>
      <c r="F55" s="17"/>
    </row>
    <row r="56" spans="1:6" ht="18" customHeight="1">
      <c r="A56" s="171"/>
      <c r="B56" s="171">
        <f>7800+13800+47200+9000+12700</f>
        <v>90500</v>
      </c>
      <c r="C56" s="41" t="s">
        <v>56</v>
      </c>
      <c r="D56" s="174">
        <v>90</v>
      </c>
      <c r="E56" s="171">
        <v>12700</v>
      </c>
      <c r="F56" s="17"/>
    </row>
    <row r="57" spans="1:7" ht="18" customHeight="1">
      <c r="A57" s="171"/>
      <c r="B57" s="171"/>
      <c r="C57" s="41" t="s">
        <v>135</v>
      </c>
      <c r="D57" s="174"/>
      <c r="E57" s="171">
        <v>0</v>
      </c>
      <c r="F57" s="17"/>
      <c r="G57" s="25" t="s">
        <v>97</v>
      </c>
    </row>
    <row r="58" spans="1:8" ht="18" customHeight="1">
      <c r="A58" s="171"/>
      <c r="B58" s="171"/>
      <c r="C58" s="41" t="s">
        <v>57</v>
      </c>
      <c r="D58" s="183">
        <v>600</v>
      </c>
      <c r="E58" s="171">
        <v>0</v>
      </c>
      <c r="F58" s="17"/>
      <c r="H58" s="25" t="s">
        <v>97</v>
      </c>
    </row>
    <row r="59" spans="1:6" ht="18" customHeight="1">
      <c r="A59" s="171"/>
      <c r="B59" s="171">
        <v>0</v>
      </c>
      <c r="C59" s="41" t="s">
        <v>308</v>
      </c>
      <c r="D59" s="183"/>
      <c r="E59" s="171">
        <v>0</v>
      </c>
      <c r="F59" s="17"/>
    </row>
    <row r="60" spans="1:6" ht="18" customHeight="1">
      <c r="A60" s="171"/>
      <c r="B60" s="171">
        <v>0</v>
      </c>
      <c r="C60" s="41" t="s">
        <v>336</v>
      </c>
      <c r="D60" s="183">
        <v>602</v>
      </c>
      <c r="E60" s="171">
        <v>0</v>
      </c>
      <c r="F60" s="17"/>
    </row>
    <row r="61" spans="1:6" ht="18" customHeight="1">
      <c r="A61" s="171"/>
      <c r="B61" s="171">
        <f>252795+275472</f>
        <v>528267</v>
      </c>
      <c r="C61" s="41" t="s">
        <v>55</v>
      </c>
      <c r="D61" s="183">
        <v>700</v>
      </c>
      <c r="E61" s="171">
        <v>0</v>
      </c>
      <c r="F61" s="17"/>
    </row>
    <row r="62" spans="1:6" ht="18" customHeight="1">
      <c r="A62" s="171"/>
      <c r="B62" s="171">
        <f>906415.28+59997.66+6542.98+103014.17+115929.37+56691.64+376.62+22966.67</f>
        <v>1271934.39</v>
      </c>
      <c r="C62" s="41" t="s">
        <v>76</v>
      </c>
      <c r="D62" s="183">
        <v>900</v>
      </c>
      <c r="E62" s="171">
        <v>22966.67</v>
      </c>
      <c r="F62" s="17"/>
    </row>
    <row r="63" spans="1:6" ht="18" customHeight="1">
      <c r="A63" s="171"/>
      <c r="B63" s="171">
        <f>+E63</f>
        <v>0</v>
      </c>
      <c r="C63" s="41" t="s">
        <v>58</v>
      </c>
      <c r="D63" s="174">
        <v>11</v>
      </c>
      <c r="E63" s="171">
        <v>0</v>
      </c>
      <c r="F63" s="17"/>
    </row>
    <row r="64" spans="1:6" ht="18" customHeight="1">
      <c r="A64" s="171"/>
      <c r="B64" s="177">
        <f>SUM(B53:B63)</f>
        <v>5047101.39</v>
      </c>
      <c r="C64" s="41"/>
      <c r="D64" s="183"/>
      <c r="E64" s="177">
        <f>SUM(E53:E62)</f>
        <v>427166.67</v>
      </c>
      <c r="F64" s="17"/>
    </row>
    <row r="65" spans="1:7" ht="18" customHeight="1">
      <c r="A65" s="171"/>
      <c r="B65" s="177">
        <f>SUM(B64,B52)</f>
        <v>13763537.3</v>
      </c>
      <c r="C65" s="183" t="s">
        <v>59</v>
      </c>
      <c r="D65" s="183"/>
      <c r="E65" s="177">
        <f>SUM(E64,E52)</f>
        <v>1349524.27</v>
      </c>
      <c r="F65" s="17"/>
      <c r="G65" s="17"/>
    </row>
    <row r="66" spans="1:7" ht="18" customHeight="1">
      <c r="A66" s="171"/>
      <c r="B66" s="171">
        <f>B34-B65</f>
        <v>1366609.3499999996</v>
      </c>
      <c r="C66" s="183" t="s">
        <v>19</v>
      </c>
      <c r="D66" s="183"/>
      <c r="E66" s="171">
        <f>E34-E65</f>
        <v>-1306520.58</v>
      </c>
      <c r="F66" s="17"/>
      <c r="G66" s="25" t="s">
        <v>97</v>
      </c>
    </row>
    <row r="67" spans="1:6" ht="18" customHeight="1">
      <c r="A67" s="171"/>
      <c r="B67" s="171"/>
      <c r="C67" s="41" t="s">
        <v>270</v>
      </c>
      <c r="D67" s="183"/>
      <c r="E67" s="171"/>
      <c r="F67" s="17" t="s">
        <v>97</v>
      </c>
    </row>
    <row r="68" spans="1:6" ht="18" customHeight="1">
      <c r="A68" s="171"/>
      <c r="B68" s="171"/>
      <c r="C68" s="183" t="s">
        <v>60</v>
      </c>
      <c r="D68" s="183"/>
      <c r="E68" s="185"/>
      <c r="F68" s="17"/>
    </row>
    <row r="69" spans="1:6" ht="18" customHeight="1" thickBot="1">
      <c r="A69" s="186"/>
      <c r="B69" s="173">
        <f>B9+B66</f>
        <v>23861101.11</v>
      </c>
      <c r="D69" s="183"/>
      <c r="E69" s="173">
        <f>E9+E66</f>
        <v>23861101.11</v>
      </c>
      <c r="F69" s="17"/>
    </row>
    <row r="70" spans="1:6" ht="11.25" customHeight="1" thickTop="1">
      <c r="A70" s="187"/>
      <c r="B70" s="17"/>
      <c r="D70" s="71"/>
      <c r="E70" s="17"/>
      <c r="F70" s="17"/>
    </row>
    <row r="71" spans="1:6" ht="1.5" customHeight="1">
      <c r="A71" s="187"/>
      <c r="B71" s="17"/>
      <c r="D71" s="71"/>
      <c r="E71" s="17"/>
      <c r="F71" s="17"/>
    </row>
    <row r="72" spans="1:6" s="45" customFormat="1" ht="21.75">
      <c r="A72" s="46"/>
      <c r="B72" s="44"/>
      <c r="D72" s="47"/>
      <c r="E72" s="44"/>
      <c r="F72" s="44"/>
    </row>
    <row r="73" spans="1:6" s="159" customFormat="1" ht="24">
      <c r="A73" s="35" t="s">
        <v>344</v>
      </c>
      <c r="B73" s="35"/>
      <c r="C73" s="35"/>
      <c r="D73" s="158"/>
      <c r="E73" s="158"/>
      <c r="F73" s="158"/>
    </row>
    <row r="74" spans="1:6" s="159" customFormat="1" ht="24">
      <c r="A74" s="35" t="s">
        <v>345</v>
      </c>
      <c r="B74" s="35"/>
      <c r="C74" s="35"/>
      <c r="D74" s="35"/>
      <c r="E74" s="158"/>
      <c r="F74" s="158"/>
    </row>
    <row r="75" spans="1:6" s="159" customFormat="1" ht="24">
      <c r="A75" s="187" t="s">
        <v>346</v>
      </c>
      <c r="B75" s="35"/>
      <c r="C75" s="35"/>
      <c r="D75" s="35"/>
      <c r="E75" s="158"/>
      <c r="F75" s="158"/>
    </row>
    <row r="76" spans="1:8" ht="24">
      <c r="A76" s="1"/>
      <c r="B76" s="16"/>
      <c r="C76" s="16"/>
      <c r="D76" s="16"/>
      <c r="E76" s="16"/>
      <c r="F76" s="16"/>
      <c r="H76" s="25" t="s">
        <v>97</v>
      </c>
    </row>
    <row r="77" spans="1:7" ht="24">
      <c r="A77" s="1"/>
      <c r="B77" s="16"/>
      <c r="C77" s="16"/>
      <c r="D77" s="16"/>
      <c r="E77" s="16"/>
      <c r="F77" s="16"/>
      <c r="G77" s="25" t="s">
        <v>97</v>
      </c>
    </row>
    <row r="78" spans="1:6" ht="24">
      <c r="A78" s="16"/>
      <c r="B78" s="16"/>
      <c r="C78" s="16"/>
      <c r="D78" s="16"/>
      <c r="E78" s="48"/>
      <c r="F78" s="16"/>
    </row>
    <row r="79" spans="1:6" ht="24">
      <c r="A79" s="16"/>
      <c r="B79" s="16"/>
      <c r="C79" s="40"/>
      <c r="D79" s="16"/>
      <c r="E79" s="16"/>
      <c r="F79" s="16"/>
    </row>
    <row r="80" spans="1:7" ht="24">
      <c r="A80" s="16"/>
      <c r="B80" s="16"/>
      <c r="C80" s="16"/>
      <c r="D80" s="16"/>
      <c r="E80" s="48"/>
      <c r="F80" s="16"/>
      <c r="G80" s="25" t="s">
        <v>97</v>
      </c>
    </row>
    <row r="81" spans="1:6" ht="24">
      <c r="A81" s="228"/>
      <c r="B81" s="228"/>
      <c r="C81" s="40"/>
      <c r="D81" s="40"/>
      <c r="E81" s="40"/>
      <c r="F81" s="40"/>
    </row>
    <row r="82" spans="1:6" ht="24">
      <c r="A82" s="40"/>
      <c r="B82" s="40"/>
      <c r="C82" s="40"/>
      <c r="D82" s="40"/>
      <c r="E82" s="40"/>
      <c r="F82" s="40"/>
    </row>
    <row r="83" spans="1:6" ht="24">
      <c r="A83" s="40"/>
      <c r="B83" s="40"/>
      <c r="C83" s="40"/>
      <c r="D83" s="40"/>
      <c r="E83" s="40"/>
      <c r="F83" s="40"/>
    </row>
    <row r="84" spans="1:6" ht="24">
      <c r="A84" s="17"/>
      <c r="B84" s="17"/>
      <c r="C84" s="16"/>
      <c r="D84" s="49"/>
      <c r="E84" s="17"/>
      <c r="F84" s="17"/>
    </row>
    <row r="85" spans="1:6" ht="24">
      <c r="A85" s="17"/>
      <c r="B85" s="17"/>
      <c r="C85" s="50"/>
      <c r="D85" s="49"/>
      <c r="E85" s="17"/>
      <c r="F85" s="17"/>
    </row>
    <row r="86" spans="1:6" ht="24">
      <c r="A86" s="17"/>
      <c r="B86" s="17"/>
      <c r="C86" s="16"/>
      <c r="D86" s="49"/>
      <c r="E86" s="17"/>
      <c r="F86" s="17"/>
    </row>
    <row r="87" spans="1:6" ht="24">
      <c r="A87" s="17"/>
      <c r="B87" s="17"/>
      <c r="C87" s="16"/>
      <c r="D87" s="49"/>
      <c r="E87" s="17"/>
      <c r="F87" s="17"/>
    </row>
    <row r="88" spans="1:6" ht="24">
      <c r="A88" s="17"/>
      <c r="B88" s="17"/>
      <c r="C88" s="16"/>
      <c r="D88" s="49"/>
      <c r="E88" s="17"/>
      <c r="F88" s="17"/>
    </row>
    <row r="89" spans="1:6" ht="24">
      <c r="A89" s="17"/>
      <c r="B89" s="17"/>
      <c r="C89" s="16"/>
      <c r="D89" s="49"/>
      <c r="E89" s="17"/>
      <c r="F89" s="17"/>
    </row>
    <row r="90" spans="1:6" ht="24">
      <c r="A90" s="17"/>
      <c r="B90" s="17"/>
      <c r="C90" s="16"/>
      <c r="D90" s="49"/>
      <c r="E90" s="17"/>
      <c r="F90" s="17"/>
    </row>
    <row r="91" spans="1:6" ht="24">
      <c r="A91" s="17"/>
      <c r="B91" s="17"/>
      <c r="C91" s="16"/>
      <c r="D91" s="49"/>
      <c r="E91" s="17"/>
      <c r="F91" s="17"/>
    </row>
    <row r="92" spans="1:6" ht="24">
      <c r="A92" s="17"/>
      <c r="B92" s="17"/>
      <c r="C92" s="16"/>
      <c r="D92" s="49"/>
      <c r="E92" s="17"/>
      <c r="F92" s="17"/>
    </row>
    <row r="93" spans="1:6" ht="24">
      <c r="A93" s="17"/>
      <c r="B93" s="17"/>
      <c r="C93" s="16"/>
      <c r="D93" s="49"/>
      <c r="E93" s="17"/>
      <c r="F93" s="17"/>
    </row>
    <row r="94" spans="1:6" ht="24">
      <c r="A94" s="17"/>
      <c r="B94" s="17"/>
      <c r="C94" s="16"/>
      <c r="D94" s="49"/>
      <c r="E94" s="17"/>
      <c r="F94" s="17"/>
    </row>
    <row r="95" spans="1:6" ht="24">
      <c r="A95" s="17"/>
      <c r="B95" s="17"/>
      <c r="C95" s="16"/>
      <c r="D95" s="49"/>
      <c r="E95" s="17"/>
      <c r="F95" s="17"/>
    </row>
    <row r="96" spans="1:6" ht="24">
      <c r="A96" s="17"/>
      <c r="B96" s="17"/>
      <c r="C96" s="16"/>
      <c r="D96" s="51"/>
      <c r="E96" s="17"/>
      <c r="F96" s="17"/>
    </row>
    <row r="97" spans="1:6" ht="24">
      <c r="A97" s="17"/>
      <c r="B97" s="17"/>
      <c r="C97" s="16"/>
      <c r="D97" s="51"/>
      <c r="E97" s="17"/>
      <c r="F97" s="17"/>
    </row>
    <row r="98" spans="1:6" ht="24">
      <c r="A98" s="17"/>
      <c r="B98" s="17"/>
      <c r="C98" s="16"/>
      <c r="D98" s="51"/>
      <c r="E98" s="17"/>
      <c r="F98" s="17"/>
    </row>
    <row r="99" spans="1:6" ht="24">
      <c r="A99" s="17"/>
      <c r="B99" s="17"/>
      <c r="C99" s="16"/>
      <c r="D99" s="49"/>
      <c r="E99" s="17"/>
      <c r="F99" s="17"/>
    </row>
    <row r="100" spans="1:6" ht="24">
      <c r="A100" s="17"/>
      <c r="B100" s="17"/>
      <c r="C100" s="16"/>
      <c r="D100" s="49"/>
      <c r="E100" s="17"/>
      <c r="F100" s="17"/>
    </row>
    <row r="101" spans="1:6" ht="24">
      <c r="A101" s="17"/>
      <c r="B101" s="17"/>
      <c r="C101" s="16"/>
      <c r="D101" s="49"/>
      <c r="E101" s="17"/>
      <c r="F101" s="17"/>
    </row>
    <row r="102" spans="1:6" ht="24">
      <c r="A102" s="17"/>
      <c r="B102" s="17"/>
      <c r="C102" s="16"/>
      <c r="D102" s="49"/>
      <c r="E102" s="17"/>
      <c r="F102" s="17"/>
    </row>
    <row r="103" spans="1:6" ht="24">
      <c r="A103" s="17"/>
      <c r="B103" s="17"/>
      <c r="C103" s="16"/>
      <c r="D103" s="49"/>
      <c r="E103" s="17"/>
      <c r="F103" s="17"/>
    </row>
    <row r="104" spans="1:6" ht="24">
      <c r="A104" s="17"/>
      <c r="B104" s="17"/>
      <c r="C104" s="16"/>
      <c r="D104" s="49"/>
      <c r="E104" s="17"/>
      <c r="F104" s="17"/>
    </row>
    <row r="105" spans="1:6" ht="24">
      <c r="A105" s="17"/>
      <c r="B105" s="17"/>
      <c r="C105" s="16"/>
      <c r="D105" s="49"/>
      <c r="E105" s="17"/>
      <c r="F105" s="17"/>
    </row>
    <row r="106" spans="1:6" ht="24">
      <c r="A106" s="17"/>
      <c r="B106" s="17"/>
      <c r="C106" s="16"/>
      <c r="D106" s="49"/>
      <c r="E106" s="17"/>
      <c r="F106" s="17"/>
    </row>
    <row r="107" spans="1:6" ht="24">
      <c r="A107" s="17"/>
      <c r="B107" s="17"/>
      <c r="C107" s="16"/>
      <c r="D107" s="49"/>
      <c r="E107" s="17"/>
      <c r="F107" s="17"/>
    </row>
    <row r="108" spans="1:6" ht="24">
      <c r="A108" s="17"/>
      <c r="B108" s="17"/>
      <c r="C108" s="16"/>
      <c r="D108" s="49"/>
      <c r="E108" s="17"/>
      <c r="F108" s="17"/>
    </row>
    <row r="109" spans="1:6" ht="24">
      <c r="A109" s="17"/>
      <c r="B109" s="17"/>
      <c r="C109" s="16"/>
      <c r="D109" s="49"/>
      <c r="E109" s="17"/>
      <c r="F109" s="17"/>
    </row>
    <row r="110" spans="1:6" ht="24">
      <c r="A110" s="229"/>
      <c r="B110" s="229"/>
      <c r="C110" s="43"/>
      <c r="D110" s="43"/>
      <c r="E110" s="43"/>
      <c r="F110" s="43"/>
    </row>
    <row r="111" spans="1:6" ht="24">
      <c r="A111" s="43"/>
      <c r="B111" s="43"/>
      <c r="C111" s="43"/>
      <c r="D111" s="43"/>
      <c r="E111" s="43"/>
      <c r="F111" s="43"/>
    </row>
    <row r="112" spans="1:6" ht="24">
      <c r="A112" s="43"/>
      <c r="B112" s="43"/>
      <c r="C112" s="43"/>
      <c r="D112" s="43"/>
      <c r="E112" s="43"/>
      <c r="F112" s="43"/>
    </row>
    <row r="113" spans="1:6" ht="24">
      <c r="A113" s="52"/>
      <c r="B113" s="52"/>
      <c r="C113" s="53"/>
      <c r="D113" s="47"/>
      <c r="E113" s="44"/>
      <c r="F113" s="44"/>
    </row>
    <row r="114" spans="1:6" ht="24">
      <c r="A114" s="44"/>
      <c r="B114" s="44"/>
      <c r="C114" s="52"/>
      <c r="D114" s="54"/>
      <c r="E114" s="44"/>
      <c r="F114" s="44"/>
    </row>
    <row r="115" spans="1:6" ht="24">
      <c r="A115" s="44"/>
      <c r="B115" s="44"/>
      <c r="C115" s="52"/>
      <c r="D115" s="47"/>
      <c r="E115" s="44"/>
      <c r="F115" s="44"/>
    </row>
    <row r="116" spans="1:6" ht="24">
      <c r="A116" s="44"/>
      <c r="B116" s="44"/>
      <c r="C116" s="52"/>
      <c r="D116" s="47"/>
      <c r="E116" s="44"/>
      <c r="F116" s="44"/>
    </row>
    <row r="117" spans="1:6" ht="24">
      <c r="A117" s="44"/>
      <c r="B117" s="44"/>
      <c r="C117" s="52"/>
      <c r="D117" s="47"/>
      <c r="E117" s="44"/>
      <c r="F117" s="44"/>
    </row>
    <row r="118" spans="1:6" ht="24">
      <c r="A118" s="44"/>
      <c r="B118" s="44"/>
      <c r="C118" s="52"/>
      <c r="D118" s="47"/>
      <c r="E118" s="44"/>
      <c r="F118" s="44"/>
    </row>
    <row r="119" spans="1:6" ht="24">
      <c r="A119" s="44"/>
      <c r="B119" s="44"/>
      <c r="C119" s="52"/>
      <c r="D119" s="47"/>
      <c r="E119" s="44"/>
      <c r="F119" s="44"/>
    </row>
    <row r="120" spans="1:6" ht="24">
      <c r="A120" s="44"/>
      <c r="B120" s="44"/>
      <c r="C120" s="52"/>
      <c r="D120" s="47"/>
      <c r="E120" s="44"/>
      <c r="F120" s="44"/>
    </row>
    <row r="121" spans="1:6" ht="24">
      <c r="A121" s="44"/>
      <c r="B121" s="44"/>
      <c r="C121" s="52"/>
      <c r="D121" s="47"/>
      <c r="E121" s="44"/>
      <c r="F121" s="44"/>
    </row>
    <row r="122" spans="1:6" ht="24">
      <c r="A122" s="44"/>
      <c r="B122" s="44"/>
      <c r="C122" s="52"/>
      <c r="D122" s="47"/>
      <c r="E122" s="44"/>
      <c r="F122" s="44"/>
    </row>
    <row r="123" spans="1:6" ht="24">
      <c r="A123" s="44"/>
      <c r="B123" s="44"/>
      <c r="C123" s="52"/>
      <c r="D123" s="47"/>
      <c r="E123" s="44"/>
      <c r="F123" s="44"/>
    </row>
    <row r="124" spans="1:6" ht="24">
      <c r="A124" s="44"/>
      <c r="B124" s="44"/>
      <c r="C124" s="52"/>
      <c r="D124" s="47"/>
      <c r="E124" s="44"/>
      <c r="F124" s="44"/>
    </row>
    <row r="125" spans="1:6" ht="24">
      <c r="A125" s="44"/>
      <c r="B125" s="44"/>
      <c r="C125" s="52"/>
      <c r="D125" s="47"/>
      <c r="E125" s="44"/>
      <c r="F125" s="44"/>
    </row>
    <row r="126" spans="1:6" ht="24">
      <c r="A126" s="44"/>
      <c r="B126" s="44"/>
      <c r="C126" s="52"/>
      <c r="D126" s="47"/>
      <c r="E126" s="44"/>
      <c r="F126" s="44"/>
    </row>
    <row r="127" spans="1:6" ht="24">
      <c r="A127" s="44"/>
      <c r="B127" s="44"/>
      <c r="C127" s="52"/>
      <c r="D127" s="47"/>
      <c r="E127" s="44"/>
      <c r="F127" s="44"/>
    </row>
    <row r="128" spans="1:6" ht="24">
      <c r="A128" s="44"/>
      <c r="B128" s="44"/>
      <c r="C128" s="52"/>
      <c r="D128" s="47"/>
      <c r="E128" s="44"/>
      <c r="F128" s="44"/>
    </row>
    <row r="129" spans="1:6" ht="24">
      <c r="A129" s="44"/>
      <c r="B129" s="44"/>
      <c r="C129" s="52"/>
      <c r="D129" s="47"/>
      <c r="E129" s="44"/>
      <c r="F129" s="44"/>
    </row>
    <row r="130" spans="1:6" ht="24">
      <c r="A130" s="44"/>
      <c r="B130" s="44"/>
      <c r="C130" s="52"/>
      <c r="D130" s="47"/>
      <c r="E130" s="44"/>
      <c r="F130" s="44"/>
    </row>
    <row r="131" spans="1:6" ht="24">
      <c r="A131" s="44"/>
      <c r="B131" s="44"/>
      <c r="C131" s="52"/>
      <c r="D131" s="47"/>
      <c r="E131" s="44"/>
      <c r="F131" s="44"/>
    </row>
    <row r="132" spans="1:6" ht="24">
      <c r="A132" s="44"/>
      <c r="B132" s="44"/>
      <c r="C132" s="52"/>
      <c r="D132" s="47"/>
      <c r="E132" s="44"/>
      <c r="F132" s="44"/>
    </row>
    <row r="133" spans="1:6" ht="24">
      <c r="A133" s="44"/>
      <c r="B133" s="44"/>
      <c r="C133" s="52"/>
      <c r="D133" s="47"/>
      <c r="E133" s="44"/>
      <c r="F133" s="44"/>
    </row>
    <row r="134" spans="1:6" ht="24">
      <c r="A134" s="44"/>
      <c r="B134" s="44"/>
      <c r="C134" s="52"/>
      <c r="D134" s="54"/>
      <c r="E134" s="44"/>
      <c r="F134" s="44"/>
    </row>
    <row r="135" spans="1:6" ht="24">
      <c r="A135" s="44"/>
      <c r="B135" s="44"/>
      <c r="C135" s="52"/>
      <c r="D135" s="47"/>
      <c r="E135" s="44"/>
      <c r="F135" s="44"/>
    </row>
    <row r="136" spans="1:6" ht="24">
      <c r="A136" s="44"/>
      <c r="B136" s="44"/>
      <c r="C136" s="52"/>
      <c r="D136" s="47"/>
      <c r="E136" s="44"/>
      <c r="F136" s="44"/>
    </row>
    <row r="137" spans="1:6" ht="24">
      <c r="A137" s="44"/>
      <c r="B137" s="44"/>
      <c r="C137" s="52"/>
      <c r="D137" s="47"/>
      <c r="E137" s="44"/>
      <c r="F137" s="44"/>
    </row>
    <row r="138" spans="1:6" ht="24">
      <c r="A138" s="44"/>
      <c r="B138" s="44"/>
      <c r="C138" s="52"/>
      <c r="D138" s="54"/>
      <c r="E138" s="44"/>
      <c r="F138" s="44"/>
    </row>
    <row r="139" spans="1:6" ht="24">
      <c r="A139" s="44"/>
      <c r="B139" s="44"/>
      <c r="C139" s="52"/>
      <c r="D139" s="47"/>
      <c r="E139" s="44"/>
      <c r="F139" s="44"/>
    </row>
    <row r="140" spans="1:6" ht="24">
      <c r="A140" s="44"/>
      <c r="B140" s="44"/>
      <c r="C140" s="47"/>
      <c r="D140" s="47"/>
      <c r="E140" s="44"/>
      <c r="F140" s="44"/>
    </row>
    <row r="141" spans="1:6" ht="24">
      <c r="A141" s="44"/>
      <c r="B141" s="44"/>
      <c r="C141" s="47"/>
      <c r="D141" s="47"/>
      <c r="E141" s="44"/>
      <c r="F141" s="44"/>
    </row>
    <row r="142" spans="1:6" ht="24">
      <c r="A142" s="44"/>
      <c r="B142" s="44"/>
      <c r="C142" s="52"/>
      <c r="D142" s="47"/>
      <c r="E142" s="44"/>
      <c r="F142" s="44"/>
    </row>
    <row r="143" spans="1:6" ht="24">
      <c r="A143" s="44"/>
      <c r="B143" s="44"/>
      <c r="C143" s="47"/>
      <c r="D143" s="47"/>
      <c r="E143" s="55"/>
      <c r="F143" s="44"/>
    </row>
    <row r="144" spans="1:6" ht="24">
      <c r="A144" s="56"/>
      <c r="B144" s="44"/>
      <c r="C144" s="52"/>
      <c r="D144" s="47"/>
      <c r="E144" s="44"/>
      <c r="F144" s="44"/>
    </row>
    <row r="145" spans="1:6" ht="24">
      <c r="A145" s="56"/>
      <c r="B145" s="44"/>
      <c r="C145" s="52"/>
      <c r="D145" s="47"/>
      <c r="E145" s="44"/>
      <c r="F145" s="44"/>
    </row>
    <row r="146" spans="1:6" ht="24">
      <c r="A146" s="223"/>
      <c r="B146" s="223"/>
      <c r="C146" s="223"/>
      <c r="D146" s="223"/>
      <c r="E146" s="223"/>
      <c r="F146" s="223"/>
    </row>
    <row r="147" spans="1:6" ht="24">
      <c r="A147" s="223"/>
      <c r="B147" s="223"/>
      <c r="C147" s="223"/>
      <c r="D147" s="223"/>
      <c r="E147" s="223"/>
      <c r="F147" s="223"/>
    </row>
    <row r="148" spans="1:6" ht="24">
      <c r="A148" s="223"/>
      <c r="B148" s="223"/>
      <c r="C148" s="223"/>
      <c r="D148" s="223"/>
      <c r="E148" s="223"/>
      <c r="F148" s="223"/>
    </row>
    <row r="149" spans="1:6" ht="24">
      <c r="A149" s="16"/>
      <c r="B149" s="16"/>
      <c r="C149" s="16"/>
      <c r="D149" s="16"/>
      <c r="E149" s="16"/>
      <c r="F149" s="16"/>
    </row>
    <row r="150" spans="1:6" ht="24">
      <c r="A150" s="16"/>
      <c r="B150" s="16"/>
      <c r="C150" s="16"/>
      <c r="D150" s="16"/>
      <c r="E150" s="16"/>
      <c r="F150" s="16"/>
    </row>
    <row r="151" spans="1:6" ht="24">
      <c r="A151" s="16"/>
      <c r="B151" s="16"/>
      <c r="C151" s="16"/>
      <c r="D151" s="16"/>
      <c r="E151" s="16"/>
      <c r="F151" s="16"/>
    </row>
    <row r="152" spans="1:6" ht="24">
      <c r="A152" s="16"/>
      <c r="B152" s="16"/>
      <c r="C152" s="16"/>
      <c r="D152" s="16"/>
      <c r="E152" s="16"/>
      <c r="F152" s="16"/>
    </row>
    <row r="153" spans="1:6" ht="24">
      <c r="A153" s="16"/>
      <c r="B153" s="16"/>
      <c r="C153" s="16"/>
      <c r="D153" s="16"/>
      <c r="E153" s="16"/>
      <c r="F153" s="16"/>
    </row>
    <row r="154" spans="1:6" ht="24">
      <c r="A154" s="16"/>
      <c r="B154" s="16"/>
      <c r="C154" s="16"/>
      <c r="D154" s="16"/>
      <c r="E154" s="16"/>
      <c r="F154" s="16"/>
    </row>
    <row r="155" spans="1:6" ht="24">
      <c r="A155" s="16"/>
      <c r="B155" s="16"/>
      <c r="C155" s="16"/>
      <c r="D155" s="16"/>
      <c r="E155" s="16"/>
      <c r="F155" s="16"/>
    </row>
    <row r="156" spans="1:6" ht="24">
      <c r="A156" s="16"/>
      <c r="B156" s="16"/>
      <c r="C156" s="16"/>
      <c r="D156" s="16"/>
      <c r="E156" s="16"/>
      <c r="F156" s="16"/>
    </row>
    <row r="157" spans="1:6" ht="24">
      <c r="A157" s="16"/>
      <c r="B157" s="16"/>
      <c r="C157" s="16"/>
      <c r="D157" s="16"/>
      <c r="E157" s="16"/>
      <c r="F157" s="16"/>
    </row>
    <row r="158" spans="1:6" ht="24">
      <c r="A158" s="16"/>
      <c r="B158" s="16"/>
      <c r="C158" s="16"/>
      <c r="D158" s="16"/>
      <c r="E158" s="16"/>
      <c r="F158" s="16"/>
    </row>
    <row r="159" spans="1:6" ht="24">
      <c r="A159" s="16"/>
      <c r="B159" s="16"/>
      <c r="C159" s="16"/>
      <c r="D159" s="16"/>
      <c r="E159" s="16"/>
      <c r="F159" s="16"/>
    </row>
    <row r="160" spans="1:6" ht="24">
      <c r="A160" s="16"/>
      <c r="B160" s="16"/>
      <c r="C160" s="16"/>
      <c r="D160" s="16"/>
      <c r="E160" s="16"/>
      <c r="F160" s="16"/>
    </row>
    <row r="161" spans="1:6" ht="24">
      <c r="A161" s="16"/>
      <c r="B161" s="16"/>
      <c r="C161" s="16"/>
      <c r="D161" s="16"/>
      <c r="E161" s="16"/>
      <c r="F161" s="16"/>
    </row>
    <row r="162" spans="1:6" ht="24">
      <c r="A162" s="16"/>
      <c r="B162" s="16"/>
      <c r="C162" s="16"/>
      <c r="D162" s="16"/>
      <c r="E162" s="16"/>
      <c r="F162" s="16"/>
    </row>
    <row r="163" spans="1:6" ht="24">
      <c r="A163" s="16"/>
      <c r="B163" s="16"/>
      <c r="C163" s="16"/>
      <c r="D163" s="16"/>
      <c r="E163" s="16"/>
      <c r="F163" s="16"/>
    </row>
    <row r="164" spans="1:6" ht="24">
      <c r="A164" s="16"/>
      <c r="B164" s="16"/>
      <c r="C164" s="16"/>
      <c r="D164" s="16"/>
      <c r="E164" s="16"/>
      <c r="F164" s="16"/>
    </row>
    <row r="165" spans="1:6" ht="24">
      <c r="A165" s="16"/>
      <c r="B165" s="16"/>
      <c r="C165" s="16"/>
      <c r="D165" s="16"/>
      <c r="E165" s="16"/>
      <c r="F165" s="16"/>
    </row>
    <row r="166" spans="1:6" ht="24">
      <c r="A166" s="16"/>
      <c r="B166" s="16"/>
      <c r="C166" s="16"/>
      <c r="D166" s="16"/>
      <c r="E166" s="16"/>
      <c r="F166" s="16"/>
    </row>
    <row r="167" spans="1:6" ht="24">
      <c r="A167" s="16"/>
      <c r="B167" s="16"/>
      <c r="C167" s="16"/>
      <c r="D167" s="16"/>
      <c r="E167" s="16"/>
      <c r="F167" s="16"/>
    </row>
    <row r="168" spans="1:6" ht="24">
      <c r="A168" s="16"/>
      <c r="B168" s="16"/>
      <c r="C168" s="16"/>
      <c r="D168" s="16"/>
      <c r="E168" s="16"/>
      <c r="F168" s="16"/>
    </row>
    <row r="169" spans="1:6" ht="24">
      <c r="A169" s="16"/>
      <c r="B169" s="16"/>
      <c r="C169" s="16"/>
      <c r="D169" s="16"/>
      <c r="E169" s="16"/>
      <c r="F169" s="16"/>
    </row>
    <row r="170" spans="1:6" ht="24">
      <c r="A170" s="16"/>
      <c r="B170" s="16"/>
      <c r="C170" s="16"/>
      <c r="D170" s="16"/>
      <c r="E170" s="16"/>
      <c r="F170" s="16"/>
    </row>
    <row r="171" spans="1:6" ht="24">
      <c r="A171" s="16"/>
      <c r="B171" s="16"/>
      <c r="C171" s="16"/>
      <c r="D171" s="16"/>
      <c r="E171" s="16"/>
      <c r="F171" s="16"/>
    </row>
    <row r="172" spans="1:6" ht="24">
      <c r="A172" s="16"/>
      <c r="B172" s="16"/>
      <c r="C172" s="16"/>
      <c r="D172" s="16"/>
      <c r="E172" s="16"/>
      <c r="F172" s="16"/>
    </row>
    <row r="173" spans="1:6" ht="24">
      <c r="A173" s="16"/>
      <c r="B173" s="16"/>
      <c r="C173" s="16"/>
      <c r="D173" s="16"/>
      <c r="E173" s="16"/>
      <c r="F173" s="16"/>
    </row>
    <row r="174" spans="1:6" ht="24">
      <c r="A174" s="16"/>
      <c r="B174" s="16"/>
      <c r="C174" s="16"/>
      <c r="D174" s="16"/>
      <c r="E174" s="16"/>
      <c r="F174" s="16"/>
    </row>
    <row r="175" spans="1:6" ht="24">
      <c r="A175" s="16"/>
      <c r="B175" s="16"/>
      <c r="C175" s="16"/>
      <c r="D175" s="16"/>
      <c r="E175" s="16"/>
      <c r="F175" s="16"/>
    </row>
    <row r="176" spans="1:6" ht="24">
      <c r="A176" s="16"/>
      <c r="B176" s="16"/>
      <c r="C176" s="16"/>
      <c r="D176" s="16"/>
      <c r="E176" s="16"/>
      <c r="F176" s="16"/>
    </row>
    <row r="177" spans="1:6" ht="24">
      <c r="A177" s="16"/>
      <c r="B177" s="16"/>
      <c r="C177" s="16"/>
      <c r="D177" s="16"/>
      <c r="E177" s="16"/>
      <c r="F177" s="16"/>
    </row>
    <row r="178" spans="1:6" ht="24">
      <c r="A178" s="16"/>
      <c r="B178" s="16"/>
      <c r="C178" s="16"/>
      <c r="D178" s="16"/>
      <c r="E178" s="16"/>
      <c r="F178" s="16"/>
    </row>
    <row r="179" spans="1:6" ht="24">
      <c r="A179" s="16"/>
      <c r="B179" s="16"/>
      <c r="C179" s="16"/>
      <c r="D179" s="16"/>
      <c r="E179" s="16"/>
      <c r="F179" s="16"/>
    </row>
    <row r="180" spans="1:6" ht="24">
      <c r="A180" s="16"/>
      <c r="B180" s="16"/>
      <c r="C180" s="16"/>
      <c r="D180" s="16"/>
      <c r="E180" s="16"/>
      <c r="F180" s="16"/>
    </row>
    <row r="181" spans="1:6" ht="24">
      <c r="A181" s="16"/>
      <c r="B181" s="16"/>
      <c r="C181" s="16"/>
      <c r="D181" s="16"/>
      <c r="E181" s="16"/>
      <c r="F181" s="16"/>
    </row>
    <row r="182" spans="1:6" ht="24">
      <c r="A182" s="16"/>
      <c r="B182" s="16"/>
      <c r="C182" s="16"/>
      <c r="D182" s="16"/>
      <c r="E182" s="16"/>
      <c r="F182" s="16"/>
    </row>
    <row r="183" spans="1:6" ht="24">
      <c r="A183" s="16"/>
      <c r="B183" s="16"/>
      <c r="C183" s="16"/>
      <c r="D183" s="16"/>
      <c r="E183" s="16"/>
      <c r="F183" s="16"/>
    </row>
    <row r="184" spans="1:6" ht="24">
      <c r="A184" s="16"/>
      <c r="B184" s="16"/>
      <c r="C184" s="16"/>
      <c r="D184" s="16"/>
      <c r="E184" s="16"/>
      <c r="F184" s="16"/>
    </row>
    <row r="185" spans="1:6" ht="24">
      <c r="A185" s="16"/>
      <c r="B185" s="16"/>
      <c r="C185" s="16"/>
      <c r="D185" s="16"/>
      <c r="E185" s="16"/>
      <c r="F185" s="16"/>
    </row>
    <row r="186" spans="1:6" ht="24">
      <c r="A186" s="16"/>
      <c r="B186" s="16"/>
      <c r="C186" s="16"/>
      <c r="D186" s="16"/>
      <c r="E186" s="16"/>
      <c r="F186" s="16"/>
    </row>
    <row r="187" spans="1:6" ht="24">
      <c r="A187" s="16"/>
      <c r="B187" s="16"/>
      <c r="C187" s="16"/>
      <c r="D187" s="16"/>
      <c r="E187" s="16"/>
      <c r="F187" s="16"/>
    </row>
  </sheetData>
  <sheetProtection/>
  <mergeCells count="7">
    <mergeCell ref="A148:F148"/>
    <mergeCell ref="A6:B6"/>
    <mergeCell ref="A37:B37"/>
    <mergeCell ref="A81:B81"/>
    <mergeCell ref="A110:B110"/>
    <mergeCell ref="A146:F146"/>
    <mergeCell ref="A147:F147"/>
  </mergeCells>
  <printOptions/>
  <pageMargins left="0.2" right="0.2" top="0.75" bottom="0.75" header="0.4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ABT.NONDAENG</dc:creator>
  <cp:keywords/>
  <dc:description/>
  <cp:lastModifiedBy>Acer</cp:lastModifiedBy>
  <cp:lastPrinted>2017-09-30T04:47:23Z</cp:lastPrinted>
  <dcterms:created xsi:type="dcterms:W3CDTF">2004-11-04T08:01:28Z</dcterms:created>
  <dcterms:modified xsi:type="dcterms:W3CDTF">2017-09-30T04:47:32Z</dcterms:modified>
  <cp:category/>
  <cp:version/>
  <cp:contentType/>
  <cp:contentStatus/>
</cp:coreProperties>
</file>